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7"/>
  </bookViews>
  <sheets>
    <sheet name="m1" sheetId="1" r:id="rId1"/>
    <sheet name="m2" sheetId="2" r:id="rId2"/>
    <sheet name="m3" sheetId="3" r:id="rId3"/>
    <sheet name="m4" sheetId="4" r:id="rId4"/>
    <sheet name="m6" sheetId="5" r:id="rId5"/>
    <sheet name="m9" sheetId="6" r:id="rId6"/>
    <sheet name="VK" sheetId="7" r:id="rId7"/>
    <sheet name="FIS10" sheetId="8" r:id="rId8"/>
    <sheet name="FIS20" sheetId="9" r:id="rId9"/>
    <sheet name="AESIFE10" sheetId="10" r:id="rId10"/>
    <sheet name="AESIFE20" sheetId="11" r:id="rId11"/>
    <sheet name="Rozvaha 1-12" sheetId="12" r:id="rId12"/>
    <sheet name="BS" sheetId="13" r:id="rId13"/>
    <sheet name="PL" sheetId="14" r:id="rId14"/>
    <sheet name="WEB" sheetId="15" r:id="rId15"/>
    <sheet name="WEB2" sheetId="16" r:id="rId16"/>
    <sheet name="Dod rizik exporzice-výpočet" sheetId="17" r:id="rId17"/>
  </sheets>
  <definedNames>
    <definedName name="_xlnm.Print_Area" localSheetId="7">'FIS10'!$A$1:$C$124</definedName>
    <definedName name="_xlnm.Print_Area" localSheetId="8">'FIS20'!$A$1:$D$84</definedName>
    <definedName name="_xlnm.Print_Area" localSheetId="1">'m2'!$A$1:$E$83</definedName>
    <definedName name="_xlnm.Print_Area" localSheetId="2">'m3'!$A$1:$D$21</definedName>
    <definedName name="_xlnm.Print_Area" localSheetId="4">'m6'!$A$1:$D$27</definedName>
    <definedName name="_xlnm.Print_Area" localSheetId="5">'m9'!$A$1:$D$44</definedName>
    <definedName name="_xlnm.Print_Area" localSheetId="11">'Rozvaha 1-12'!$A$1:$I$213</definedName>
    <definedName name="_xlnm.Print_Area" localSheetId="14">'WEB'!$A$1:$B$11</definedName>
  </definedNames>
  <calcPr fullCalcOnLoad="1"/>
</workbook>
</file>

<file path=xl/comments16.xml><?xml version="1.0" encoding="utf-8"?>
<comments xmlns="http://schemas.openxmlformats.org/spreadsheetml/2006/main">
  <authors>
    <author>Martina Hůlová</author>
  </authors>
  <commentList>
    <comment ref="B28" authorId="0">
      <text>
        <r>
          <rPr>
            <b/>
            <sz val="9"/>
            <rFont val="Tahoma"/>
            <family val="2"/>
          </rPr>
          <t>Martina Hůlová:</t>
        </r>
        <r>
          <rPr>
            <sz val="9"/>
            <rFont val="Tahoma"/>
            <family val="2"/>
          </rPr>
          <t xml:space="preserve">
se vyplňuje kapitálový požadavek vypočtený z expozice k měnovým obchodům – tzn. za IV. Q. 2017 by to bylo 0,08 x 538,565 = 43,0852</t>
        </r>
      </text>
    </comment>
  </commentList>
</comments>
</file>

<file path=xl/sharedStrings.xml><?xml version="1.0" encoding="utf-8"?>
<sst xmlns="http://schemas.openxmlformats.org/spreadsheetml/2006/main" count="2096" uniqueCount="1129">
  <si>
    <t>COS10.E161202 - Kapitál a rizikové expozice</t>
  </si>
  <si>
    <t>Allocated:</t>
  </si>
  <si>
    <t>Exported by:</t>
  </si>
  <si>
    <t>Reporting folder:</t>
  </si>
  <si>
    <t>COS10_11 - Kapitál</t>
  </si>
  <si>
    <t>m1</t>
  </si>
  <si>
    <t>Kapitál</t>
  </si>
  <si>
    <t>Tier 1 (T1) kapitál</t>
  </si>
  <si>
    <t>Kmenový tier 1 (CET1) kapitál</t>
  </si>
  <si>
    <t>Nástroje použitelné pro CET1 kapitál</t>
  </si>
  <si>
    <t>Splacené CET1 nástroje</t>
  </si>
  <si>
    <t>z toho: kapitálové nástroje upsané veřejnými orgány v mimořádných situacích</t>
  </si>
  <si>
    <t>Doplňující informace: nástroje nepoužitelné pro CET1 kapitál</t>
  </si>
  <si>
    <t>Emisní ážio</t>
  </si>
  <si>
    <t>(-) Nabyté vlastní CET1 nástroje</t>
  </si>
  <si>
    <t>(-) Vlastní CET1 nástroje nabyté přímo</t>
  </si>
  <si>
    <t>(-) Vlastní CET1 nástroje nabyté nepřímo</t>
  </si>
  <si>
    <t>(-) Syntetické investice do CET1 nástrojů</t>
  </si>
  <si>
    <t>(-) Skutečné nebo podmíněné závazky k nákupu vlastních CET1 nástrojů</t>
  </si>
  <si>
    <t>Nerozdělený zisk/neuhrazená ztráta</t>
  </si>
  <si>
    <t>Nerozdělený zisk/neuhrazená ztráta za předchozí období</t>
  </si>
  <si>
    <t>Použitelný zisk/ztráta</t>
  </si>
  <si>
    <t>Zisk/ztráta</t>
  </si>
  <si>
    <t>(-) Nepoužitelný mezitímní zisk nebo nepoužitelný zisk z ukončeného účetního období</t>
  </si>
  <si>
    <t>Kumulovaný ostatní úplný výsledek hospodaření (OCI)</t>
  </si>
  <si>
    <t>Ostatní rezervní fondy</t>
  </si>
  <si>
    <t>Rezervní fond na všeobecná bankovní rizika</t>
  </si>
  <si>
    <t>Nástroje použitelné pro CET1 kapitál po přechodnou dobu</t>
  </si>
  <si>
    <t>Menšinové podíly zahrnuté do CET1 kapitálu</t>
  </si>
  <si>
    <t>Přechodně uznávané menšinové podíly</t>
  </si>
  <si>
    <t>Úpravy CET1 kapitálu z důvodu použití obezřetnostních filtrů</t>
  </si>
  <si>
    <t>(-) Zvýšení vlastního kapitálu ze sekuritizace aktiv</t>
  </si>
  <si>
    <t>Rezervní fond na zajištění peněžních toků</t>
  </si>
  <si>
    <t>Kumulativní zisk/ztráta ze změn reálné hodnoty závazků při změně úvěrového rizika</t>
  </si>
  <si>
    <t>Reálná hodnota zisku nebo ztráty z vlastního úvěrového rizika souvisejícího s derivátovými závazky</t>
  </si>
  <si>
    <t>(-) Úpravy hodnot podle požadavků pro obezřetné oceňování</t>
  </si>
  <si>
    <t>(-) Goodwill</t>
  </si>
  <si>
    <t>(-) Goodwill z nehmotných aktiv</t>
  </si>
  <si>
    <t>(-) Goodwill zahrnutý v ocenění významných investic</t>
  </si>
  <si>
    <t>Odložené daňové závazky z goodwillu</t>
  </si>
  <si>
    <t>(-) Jiná nehmotná aktiva</t>
  </si>
  <si>
    <t>(-) Jiná nehmotná aktiva - hrubá hodnota</t>
  </si>
  <si>
    <t>Odložené daňové závazky související s jinými nehmotnými aktivy</t>
  </si>
  <si>
    <t>(-) Odložené daňové pohledávky závislé na budoucím zisku nevyplývající z přechodných rozdílů snížené o související daňové závazky</t>
  </si>
  <si>
    <t>(-) Nedostatek v krytí očekávaných ztrát úpravami o úvěrové riziko při IRB</t>
  </si>
  <si>
    <t>(-) Aktiva z definovaných požitkových penzijních fondů</t>
  </si>
  <si>
    <t>(-) Aktiva z definovaných požitkových penzijních fondů - hrubá hodnota</t>
  </si>
  <si>
    <t>Odložené daňové závazky související s aktivy definovaných požitkových penzijních fondů</t>
  </si>
  <si>
    <t>Aktiva z definovaných požitkových penzijních fondů, se kterými může instituce nakládat bez omezení</t>
  </si>
  <si>
    <t>(-) Vzájemné investice do CET1 nástrojů</t>
  </si>
  <si>
    <t>(-) Převýšení odčitatelných položek nad AT1 kapitálem</t>
  </si>
  <si>
    <t>(-) Kvalifikované účasti mimo finanční sektor (alternativně s rizikovou váhou 1250 %)</t>
  </si>
  <si>
    <t>(-) Sekuritizované expozice (alternativně s rizikovou váhou 1250 %)</t>
  </si>
  <si>
    <t>(-) Volné dodávky (alternativně s rizikovou váhou 1250 %)</t>
  </si>
  <si>
    <t>(-) Seskupení expozic, pro které nelze určit rizikovou váhu podle IRB (alternativně s rizikovou váhou 1250 %)</t>
  </si>
  <si>
    <t>(-) Akciové expozice podle VaR (alternativně s rizikovou váhou 1250 %)</t>
  </si>
  <si>
    <t>(-) Nadlimitní nevýznamné investice do osob z finančního sektoru</t>
  </si>
  <si>
    <t>(-) Odložené daňové pohledávky závislé na budoucím zisku vyplývající z přechodných rozdílů</t>
  </si>
  <si>
    <t>(-) Nadlimitní významné investice do osob z finančního sektoru</t>
  </si>
  <si>
    <t>(-) Hodnoty přesahující 17,65 % vlastního CET1 kapitálu</t>
  </si>
  <si>
    <t>Ostatní přechodné úpravy CET1 kapitálu</t>
  </si>
  <si>
    <t>(-) Dodatečné odpočty od CET1 kapitálu podle čl. 3 CRR</t>
  </si>
  <si>
    <t>Ostatní nástroje CET1 kapitálu a ostatní odpočty od CET1 kapitálu</t>
  </si>
  <si>
    <t>Vedlejší tier 1 (AT1) kapitál</t>
  </si>
  <si>
    <t>Nástroje použitelné pro AT1 kapitál</t>
  </si>
  <si>
    <t>Splacené AT1 nástroje</t>
  </si>
  <si>
    <t>Doplňující informace: nástroje nepoužitelné pro AT1 kapitál</t>
  </si>
  <si>
    <t>(-) Nabyté vlastní AT1 nástroje</t>
  </si>
  <si>
    <t>(-) Vlastní AT1 nástroje nabyté přímo</t>
  </si>
  <si>
    <t>(-) Vlastní AT1 nástroje nabyté nepřímo</t>
  </si>
  <si>
    <t>(-) Syntetické investice do AT1 nástrojů</t>
  </si>
  <si>
    <t>(-) Skutečné nebo podmíněné závazky k nákupu vlastních AT1 nástrojů</t>
  </si>
  <si>
    <t>Nástroje použitelné pro AT1 kapitál po přechodnou dobu</t>
  </si>
  <si>
    <t>Nástroje použitelné pro AT1 kapitál vydané dceřinými podniky</t>
  </si>
  <si>
    <t>Nástroje použitelné pro AT1 kapitál po přechodnou dobu vydané dceřinými podniky</t>
  </si>
  <si>
    <t>(-) Vzájemné investice do AT1 nástrojů s osobami z finančního sektoru</t>
  </si>
  <si>
    <t>(-) Nadlimitní nevýznamné investice do AT1 nástrojů osob z finančního sektoru</t>
  </si>
  <si>
    <t>(-) Nadlimitní významné investice do AT1 nástrojů osob z finančního sektoru</t>
  </si>
  <si>
    <t>(-) Převýšení odčitatelných položek nad T2 kapitálem</t>
  </si>
  <si>
    <t>Ostatní přechodné úpravy AT1 kapitálu</t>
  </si>
  <si>
    <t>Převýšení odpočtu od položek AT1 kapitálu (odečtených v CET1)</t>
  </si>
  <si>
    <t>(-) Dodatečné odpočty od AT1 kapitálu podle čl. 3 CRR</t>
  </si>
  <si>
    <t>Ostatní nástroje AT1 kapitálu a ostatní odpočty od AT1 kapitálu</t>
  </si>
  <si>
    <t>Tier 2 (T2) kapitál</t>
  </si>
  <si>
    <t>Nástroje a podřízený dluh použitelné jako T2 kapitál</t>
  </si>
  <si>
    <t>Splacené T2 nástroje a podřízený dluh</t>
  </si>
  <si>
    <t>Doplňující informace: nástroje a podřízený dluh nepoužitelné pro T2 kapitál</t>
  </si>
  <si>
    <t>(-) Nabyté vlastní T2 nástroje a podřízený dluh</t>
  </si>
  <si>
    <t>(-) Vlastní T2 nástroje a podřízený dluh nabyté přímo</t>
  </si>
  <si>
    <t>(-) Vlastní T2 nástroje a podřízený dluh nabyté nepřímo</t>
  </si>
  <si>
    <t>(-) Syntetické investice do T2 nástrojů a podřízeného dluhu</t>
  </si>
  <si>
    <t>(-) Skutečné nebo podmíněné závazky k nákupu vlastních T2 nástrojů</t>
  </si>
  <si>
    <t>Nástroje použitelné pro T2 kapitál po přechodnou dobu</t>
  </si>
  <si>
    <t>Nástroje použitelné pro T2 kapitál vydané dceřinými podniky</t>
  </si>
  <si>
    <t>Nástroje použitelné pro T2 kapitál po přechodnou dobu vydané dceřinými podniky</t>
  </si>
  <si>
    <t>Přebytek krytí očekávaných ztrát při přístupu IRB</t>
  </si>
  <si>
    <t>Obecné úpravy úvěrového rizika při přístupu STA</t>
  </si>
  <si>
    <t>(-) Vzájemné investice do T2 nástrojů s osobami z finančního sektoru</t>
  </si>
  <si>
    <t>(-) Nadlimitní nevýznamné investice do T2 nástrojů osob z finančního sektoru</t>
  </si>
  <si>
    <t>(-) Nadlimitní významné investice do T2 nástrojů osob z finančního sektoru</t>
  </si>
  <si>
    <t>Ostatní přechodné úpravy T2 kapitálu</t>
  </si>
  <si>
    <t>Převýšení odpočtu od položek T2 kapitálu (odečtených v AT1)</t>
  </si>
  <si>
    <t>(-) Dodatečné odpočty od T2 kapitálu podle čl. 3 CRR</t>
  </si>
  <si>
    <t>Ostatní nástroje T2 kapitálu a ostatní odpočty od T2 kapitálu</t>
  </si>
  <si>
    <t>COS10_21 - Rizikové expozice</t>
  </si>
  <si>
    <t>m2</t>
  </si>
  <si>
    <t>Rizikové expozice celkem</t>
  </si>
  <si>
    <t>z toho: OCP dle čl. 95 (2) a čl. 98 CRR</t>
  </si>
  <si>
    <t>z toho: OCP dle čl. 96 (2) a čl. 98 CRR</t>
  </si>
  <si>
    <t>Rizikově vážené expozice pro úvěrové riziko, riziko protistrany, riziko rozmělnění a volné dodávky</t>
  </si>
  <si>
    <t>Rizikově vážené expozice pro úvěrové riziko při STA celkem</t>
  </si>
  <si>
    <t>*Rizikově vážené expozice při STA bez sekuritizovaných expozic</t>
  </si>
  <si>
    <t>*Expozice vůči centrálním vládám a centrálním bankám</t>
  </si>
  <si>
    <t>*Expozice vůči regionálním vládám a místním orgánům</t>
  </si>
  <si>
    <t>*Expozice vůči subjektům veřejného sektoru</t>
  </si>
  <si>
    <t>*Expozice vůči mezinárodním rozvojovým bankám</t>
  </si>
  <si>
    <t>*Expozice vůči mezinárodním organizacím</t>
  </si>
  <si>
    <t>*Expozice vůči institucím</t>
  </si>
  <si>
    <t>*Expozice vůči podnikům</t>
  </si>
  <si>
    <t>*Expozice vůči retailu</t>
  </si>
  <si>
    <t>*Expozice zajištěné nemovitostmi</t>
  </si>
  <si>
    <t>*Expozice v selhání</t>
  </si>
  <si>
    <t>*Vysoce rizikové expozice</t>
  </si>
  <si>
    <t>*Expozice v krytých dluhopisech</t>
  </si>
  <si>
    <t>*Expozice vůči institucím a podnikům s krátkodobým úvěrovým hodnocením</t>
  </si>
  <si>
    <t>*Nástroje kolektivního investování</t>
  </si>
  <si>
    <t>*Akcie</t>
  </si>
  <si>
    <t>*Ostatní expozice</t>
  </si>
  <si>
    <t>Sekuritizované expozice STA</t>
  </si>
  <si>
    <t>z toho: resekuritizace</t>
  </si>
  <si>
    <t>Rizikově vážené expozice pro úvěrové riziko při IRB celkem</t>
  </si>
  <si>
    <t>*Rizikově vážené expozice pro úvěrové riziko při IRB bez použití vlastních odhadů LGD a/nebo konverzních faktorů</t>
  </si>
  <si>
    <t>*Expozice vůči podnikům - SME</t>
  </si>
  <si>
    <t>*Expozice vůči podnikům - specializované úvěrování</t>
  </si>
  <si>
    <t>*Expozice vůči podnikům - ostatní</t>
  </si>
  <si>
    <t>*Rizikově vážené expozice pro úvěrové riziko při IRB s použitím vlastních odhadů LGD a/nebo konverzních faktorů</t>
  </si>
  <si>
    <t>*Expozice vůči retailu - zajištěné nemovitostmi SME</t>
  </si>
  <si>
    <t>*Expozice vůči retailu - zajištěné nemovitostmi non-SME</t>
  </si>
  <si>
    <t>*Expozice vůči retailu - kvalifikovaný revolving</t>
  </si>
  <si>
    <t>*Expozice vůči retailu - ostatní (SME)</t>
  </si>
  <si>
    <t>*Expozice vůči retailu - ostatní (non-SME)</t>
  </si>
  <si>
    <t>Akcie</t>
  </si>
  <si>
    <t>Sekuritizované expozice při IRB</t>
  </si>
  <si>
    <t>Jiná aktiva nemající povahu úvěrového závazku</t>
  </si>
  <si>
    <t>Rizikové expozice pro příspěvky do fondu selhání ústřední protistrany</t>
  </si>
  <si>
    <t>Rizikové expozice pro vypořádací riziko celkem</t>
  </si>
  <si>
    <t>Vypořádací riziko pro investiční portfolio</t>
  </si>
  <si>
    <t>Vypořádací riziko pro obchodní portfolio</t>
  </si>
  <si>
    <t>Rizikové expozice pro poziční riziko, měnové a komoditní riziko celkem</t>
  </si>
  <si>
    <t>Rizikové expozice pro poziční riziko, měnové a komoditní riziko při STA</t>
  </si>
  <si>
    <t>Obchodovatelné dluhové nástroje</t>
  </si>
  <si>
    <t>Zvláštní přístup pro poziční riziko subjektů kolektivního investování (CIUs)</t>
  </si>
  <si>
    <t>Doplňující informace: subjekty kolektivního investování investující výhradně do obchodovatelných dluhových nástrojů</t>
  </si>
  <si>
    <t>Doplňující informace: subjekty kolektivního investování investující výhradně do akcií a smíšených nástrojů</t>
  </si>
  <si>
    <t>Měnové obchody</t>
  </si>
  <si>
    <t>Komodity</t>
  </si>
  <si>
    <t>Rizikové expozice pro poziční, měnové a komoditní riziko při použití vlastních modelů</t>
  </si>
  <si>
    <t>Rizikové expozice pro operační riziko celkem</t>
  </si>
  <si>
    <t>Operační riziko - přístup BIA</t>
  </si>
  <si>
    <t>Operační riziko - přístup TSA/ASA</t>
  </si>
  <si>
    <t>Operační riziko - přístup AMA</t>
  </si>
  <si>
    <t>Dodatečné rizikové expozice z důvodu uplatňování režijních nákladů</t>
  </si>
  <si>
    <t>Rizikové expozice pro úpravy ocenění o úvěrové riziko celkem</t>
  </si>
  <si>
    <t>Pokročilá metoda</t>
  </si>
  <si>
    <t>Standardizovaná metoda</t>
  </si>
  <si>
    <t>Metoda původní expozice (OEM)</t>
  </si>
  <si>
    <t>Rizikové expozice související s velkými expozicemi v obchodním portfoliu celkem</t>
  </si>
  <si>
    <t>Ostatní rizikové expozice</t>
  </si>
  <si>
    <t>z toho: dodatečné přísnější obezřetnostní požadavky podle čl. 458 CRR</t>
  </si>
  <si>
    <t>z toho: požadavky pro velké expozice</t>
  </si>
  <si>
    <t>z toho: požadavky z důvodu modifikovaných RV cílené na "bubliny aktiv" u obchodních a obytných nemovitostí</t>
  </si>
  <si>
    <t>z toho: požadavky z důvodu expozic v rámci finančního sektoru</t>
  </si>
  <si>
    <t>z toho: dodatečné přísnější obezřetnostní požadavky podle 459 CRR</t>
  </si>
  <si>
    <t>z toho: dodatečná hodnota rizikových expozic podle čl. 3 CRR</t>
  </si>
  <si>
    <t>COS10_31 - Kapitálové poměry</t>
  </si>
  <si>
    <t>m3</t>
  </si>
  <si>
    <t>Kapitálový poměr CET1</t>
  </si>
  <si>
    <t>Přebytek (+) / nedostatek (-) CET1 kapitálu</t>
  </si>
  <si>
    <t>Kapitálový poměr T1</t>
  </si>
  <si>
    <t>Přebytek (+) / nedostatek (-) T1 kapitálu</t>
  </si>
  <si>
    <t>Celkový kapitálový poměr</t>
  </si>
  <si>
    <t>Přebytek (+) / nedostatek (-) celkového kapitálu</t>
  </si>
  <si>
    <t>COS10_41 - Doplňující údaje 1 - odložené daňové pohledávky a závazky a úpravy ocenění</t>
  </si>
  <si>
    <t>m4</t>
  </si>
  <si>
    <t>Celkové odložené daňové pohledávky</t>
  </si>
  <si>
    <t>Odložené daňové pohledávky nezávislé na budoucím zisku</t>
  </si>
  <si>
    <t>Odložené daňové pohledávky závislé na budoucím zisku a nevyplývající z přechodných rozdílů</t>
  </si>
  <si>
    <t>Odložené daňové pohledávky závislé na budoucím zisku a vyplývající z přechodných rozdílů</t>
  </si>
  <si>
    <t>Celkové odložené daňové závazky</t>
  </si>
  <si>
    <t>Odložené daňové závazky neodčitatelné od odložených daňových pohledávek závislých na budoucím zisku</t>
  </si>
  <si>
    <t>Odložené daňové závazky odčitatelné od odložených daňových pohledávek závislých na budoucím zisku</t>
  </si>
  <si>
    <t>Odčitatelné odložené daňové závazky související s odloženými daňovými pohledávkami závislými na budoucím zisku a nevyplývajícími z přechodných rozdílů</t>
  </si>
  <si>
    <t>Odčitatelné odložené daňové závazky související s odloženými daňovými pohledávkami závislými na budoucím zisku a vyplývajícimi z přechodných rozdílů</t>
  </si>
  <si>
    <t>Přebytek (+) /nedostatek (-) úprav o úvěrové riziko, dodatečné úpravy ocenění a ost. úprav kapitálu k očekávaným ztrátám při IRB pro expozice bez selhání</t>
  </si>
  <si>
    <t>Úpravy o úvěrové riziko, dodatečné úpravy ocenění a ostatní úpravy kapitálu celkem použitelné pro výpočet očekávaných ztrát</t>
  </si>
  <si>
    <t>Obecné úpravy o úvěrové riziko</t>
  </si>
  <si>
    <t>Specifické úpravy o úvěrové riziko</t>
  </si>
  <si>
    <t>Dodatečné úpravy ocenění a ostatní úpravy kapitálu</t>
  </si>
  <si>
    <t>Očekávané ztráty celkem</t>
  </si>
  <si>
    <t>Přebytek (+) / nedostatek (-)  úprav o specifické úvěrové riziko k očekávaným ztrátám pro expozice v selhání při IRB</t>
  </si>
  <si>
    <t>Úpravy o specifické úvěrové riziko pro expozice v selhání při IRB</t>
  </si>
  <si>
    <t>Očekávané ztráty pro expozice v selhání celkem při IRB</t>
  </si>
  <si>
    <t>Rizikově vážené expozice pro výpočet stropu pro překročení úprav o úvěrové riziko použitelných pro T2 kapitál (IRB)</t>
  </si>
  <si>
    <t>Celková hrubá hodnota obecných úprav o úvěrové riziko použitelných pro T2 kapitál (STA)</t>
  </si>
  <si>
    <t>Rizikově vážené expozice pro výpočet stropu pro překročení obecných úprav o úvěrové riziko použitelných pro T2 kapitál (STA)</t>
  </si>
  <si>
    <t>Prahová hodnota, do jejíž výše se neodčítají nevýznamné investice do osob z finančního sektoru</t>
  </si>
  <si>
    <t>10 % CET1 prahová hodnota podle čl. 48 CRR</t>
  </si>
  <si>
    <t>17,65 % CET1 prahová hodnota podle čl. 48 CRR</t>
  </si>
  <si>
    <t>Použitelný kapitál pro účely kvalifikovaných účastí v osobách mimo finanční sektor</t>
  </si>
  <si>
    <t>Použitelný kapitál pro účely velkých expozic</t>
  </si>
  <si>
    <t>COS10_43 - Doplňující údaje 3 - investice do kap. nástrojů neodečtené od kapitálu a jiné doplńující údaje</t>
  </si>
  <si>
    <t>m6</t>
  </si>
  <si>
    <t>Hodnota rizikově vážených expozic z investic do CET1 nástrojů osob z finančního sektoru neodečítaných od CET1 kapitálu</t>
  </si>
  <si>
    <t>Hodnota rizikově vážených expozic z investic do  AT1 nástrojů osob z finančního sektoru neodečítaných od AT1 kapitálu</t>
  </si>
  <si>
    <t>Hodnota rizikově vážených expozic z investic do T2 nástrojů osob z finančního sektoru neodečítaných z T2 kapitálu</t>
  </si>
  <si>
    <t>Požadavek kombinovaných kapitálových rezerv</t>
  </si>
  <si>
    <t>Bezpečnostní kapitálová rezerva</t>
  </si>
  <si>
    <t>Bezpečnostní kapitálová rezerva pro makroobezřetnostní nebo systémové riziko identifikované na úrovni členského státu</t>
  </si>
  <si>
    <t>Proticyklická kapitálová rezerva stanovená pro danou instituci</t>
  </si>
  <si>
    <t>Kapitálová rezerva pro krytí systémového rizika</t>
  </si>
  <si>
    <t>Kapitálová rezerva pro systémově významné instituce</t>
  </si>
  <si>
    <t>Kapitálová rezerva pro globální systémově významné instituce</t>
  </si>
  <si>
    <t>Kapitálová rezerva pro jiné systémově významné instituce</t>
  </si>
  <si>
    <t>Kapitálové požadavky spojené s úpravami pro Pilíř II</t>
  </si>
  <si>
    <t>Počáteční kapitál</t>
  </si>
  <si>
    <t>Kapitálové požadavky založené na režijních nákladech</t>
  </si>
  <si>
    <t>Zahraniční expozice</t>
  </si>
  <si>
    <t>Celkové expozice</t>
  </si>
  <si>
    <t>Úpravy celkového kapitálu</t>
  </si>
  <si>
    <t>Kapitál plně upravený pro úroveň Basel I</t>
  </si>
  <si>
    <t>Kapitálové požadavky pro úroveň Basel I</t>
  </si>
  <si>
    <t>Kapitálové požadavky pro úroveň Basel I - alternativa STA</t>
  </si>
  <si>
    <t>Nedostatek celkového kapitálu co se týká minimálních kapitálových požadavků pro úroveň Basel I</t>
  </si>
  <si>
    <t>COS10_53 - Použitelné procentní podíly</t>
  </si>
  <si>
    <t>m9</t>
  </si>
  <si>
    <t>*Nástroje nebo položky, které nesplňují podmínky pro menšinové podíly</t>
  </si>
  <si>
    <t>*Nástroje nebo položky, které splňují podmínky pro menšinové podíly</t>
  </si>
  <si>
    <t>*Nástroje vydané dceřinými podniky použitelné pro AT1 kapitál</t>
  </si>
  <si>
    <t>*Nástroje vydané dceřinými podniky použitelné pro T2 kapitál</t>
  </si>
  <si>
    <t>*Nerealizované zisky</t>
  </si>
  <si>
    <t>*Nerealizované ztráty</t>
  </si>
  <si>
    <t>*Nerealizované zisky z expozic vůči centrálním vládám klasifikovaných jako realizovatelná finanční aktiva podle standardu IAS 39 potvrzeného EU</t>
  </si>
  <si>
    <t>*Nerealizované ztráty z expozic vůči centrálním vládám klasifikovaných jako realizovatelná finanční aktiva podle standardu IAS 39 potvrzeného EU</t>
  </si>
  <si>
    <t>*Reálná hodnota zisků a ztrát z derivátových závazků vzniklých z vlastního úvěrového rizika</t>
  </si>
  <si>
    <t>*Ztráta za běžné účetní období</t>
  </si>
  <si>
    <t>*Nehmotná aktiva</t>
  </si>
  <si>
    <t>*Odložené daňové pohledávky závislé na budoucí ziskovosti, které nevyplývají z dočasných rozdílů</t>
  </si>
  <si>
    <t>*Nedostatek v krytí očekávaných úvěrových ztrát při IRB přístupu</t>
  </si>
  <si>
    <t>*Aktiva z definovaných požitkových penzijních fondů</t>
  </si>
  <si>
    <t>*z toho: v rámci zavedení změn IAS 19 - kladné hodnoty</t>
  </si>
  <si>
    <t>*z toho: v rámci zavedení změn IAS 19 - záporné  hodnoty</t>
  </si>
  <si>
    <t>*Nabyté vlastní CET1 nástroje</t>
  </si>
  <si>
    <t>*z toho: přímo nabyté</t>
  </si>
  <si>
    <t>*z toho: nepřímo nabyté</t>
  </si>
  <si>
    <t>*Nabyté vlastní AT1 nástroje</t>
  </si>
  <si>
    <t>*Nabyté vlastní T2 nástroje</t>
  </si>
  <si>
    <t>*Vzájemné investice do CET1 nástrojů</t>
  </si>
  <si>
    <t>*Vzájemné investice do AT1 nástrojů</t>
  </si>
  <si>
    <t>*Vzájemné investice do T2 nástrojů</t>
  </si>
  <si>
    <t>*Nevýznamné investice do CET1 nástrojů</t>
  </si>
  <si>
    <t>*Nevýznamné investice do AT1 nástrojů</t>
  </si>
  <si>
    <t>*Nevýznamné investice do T2 nástrojů</t>
  </si>
  <si>
    <t>*Významné investice do CET1 nástrojů</t>
  </si>
  <si>
    <t>*Významné investice do AT1 nástrojů</t>
  </si>
  <si>
    <t>*Významné investice do T2 nástrojů</t>
  </si>
  <si>
    <t>*Dodatečné filtry a odčitatelné položky</t>
  </si>
  <si>
    <t>*Nástroje podle směrnice 2006/48/ES použitelné pro CET1 kapitál</t>
  </si>
  <si>
    <t>*Nástroje podle směrnice 2006/48/ES použitelné pro AT1 kapitál</t>
  </si>
  <si>
    <t>*Nástroje podle směrnice 2006/48/ES použitelné pro T2 kapitál</t>
  </si>
  <si>
    <t>Rozvaha analyticky</t>
  </si>
  <si>
    <t>Strana 1</t>
  </si>
  <si>
    <t>Accredio, a.s.</t>
  </si>
  <si>
    <t>IČ: 27095843</t>
  </si>
  <si>
    <t>Tisk vybraných záznamů</t>
  </si>
  <si>
    <t>Číslo účtu</t>
  </si>
  <si>
    <t>Počáteční</t>
  </si>
  <si>
    <t>Obraty za</t>
  </si>
  <si>
    <t>Obraty</t>
  </si>
  <si>
    <t>Koncový</t>
  </si>
  <si>
    <t>Název účtu</t>
  </si>
  <si>
    <t>stav</t>
  </si>
  <si>
    <t>období MD</t>
  </si>
  <si>
    <t>období D</t>
  </si>
  <si>
    <t>rozdíl</t>
  </si>
  <si>
    <t>Aktiva</t>
  </si>
  <si>
    <t>Peněžní prostředky v pokladně</t>
  </si>
  <si>
    <t>Pokladna TRY</t>
  </si>
  <si>
    <t>Pokladna CHF</t>
  </si>
  <si>
    <t>21x</t>
  </si>
  <si>
    <t>Bankovní účet EUR - UBS</t>
  </si>
  <si>
    <t>Bankovni ucet EUR - GUTZ</t>
  </si>
  <si>
    <t>Bankovní účet USD - UBS</t>
  </si>
  <si>
    <t>Bankovni ucet USD - GUTZ</t>
  </si>
  <si>
    <t>Bankovní účet CHF - UBS</t>
  </si>
  <si>
    <t>Bankovní účet CHF - GUTZ</t>
  </si>
  <si>
    <t>22x</t>
  </si>
  <si>
    <t>Peněžní prostředky na účtech</t>
  </si>
  <si>
    <t>Peníze na cestě</t>
  </si>
  <si>
    <t>Peníze na cestě - výběr z bankomatu</t>
  </si>
  <si>
    <t>Peníze na cestě - platba kartou</t>
  </si>
  <si>
    <t>26x</t>
  </si>
  <si>
    <t>Převody mezi finančními účty</t>
  </si>
  <si>
    <t>2xx</t>
  </si>
  <si>
    <t>Pohledávky z obchodního styku - CZK</t>
  </si>
  <si>
    <t>Pohledávky z obchodního styku - EUR</t>
  </si>
  <si>
    <t>Pohledávky z obchodního styku - USD</t>
  </si>
  <si>
    <t>Poskytnuté provozní zálohy - CZK</t>
  </si>
  <si>
    <t>Poskytnuté provozní zálohy - EUR</t>
  </si>
  <si>
    <t>Dlouhodobé pohledávky - EUR</t>
  </si>
  <si>
    <t>31x</t>
  </si>
  <si>
    <t>Pohledávky (krátkodobé a dlouhodobé)</t>
  </si>
  <si>
    <t>Jiné pohledávky ostatní</t>
  </si>
  <si>
    <t>37x</t>
  </si>
  <si>
    <t>Jiné pohledávky a závazky</t>
  </si>
  <si>
    <t>Náklady příštích období - účet 5185xx</t>
  </si>
  <si>
    <t>Náklady příštích období</t>
  </si>
  <si>
    <t>Příjmy příštích období v CZK</t>
  </si>
  <si>
    <t>Příjmy příštích období v EUR</t>
  </si>
  <si>
    <t>Dohadné účty aktivní EUR</t>
  </si>
  <si>
    <t>Dohadné účty aktivní CHF</t>
  </si>
  <si>
    <t>38x</t>
  </si>
  <si>
    <t>Přechodné účty aktiv a pasiv</t>
  </si>
  <si>
    <t>3xx</t>
  </si>
  <si>
    <t>Aktiva celkem</t>
  </si>
  <si>
    <t>Pasiva</t>
  </si>
  <si>
    <t>Závazky z obchodních vztahů - CZK</t>
  </si>
  <si>
    <t>Závazky z obchodních vztahů - EUR</t>
  </si>
  <si>
    <t>Závazky z obchodních vztahů - USD</t>
  </si>
  <si>
    <t>Závazky z obchodních vztahů - CHF</t>
  </si>
  <si>
    <t>Přijaté zálohy - EUR (krátkodobé)</t>
  </si>
  <si>
    <t>Přijaté zálohy - USD (krátkodobé)</t>
  </si>
  <si>
    <t>Ostatní závazky</t>
  </si>
  <si>
    <t>32x</t>
  </si>
  <si>
    <t>Závazky (krátkodobé)</t>
  </si>
  <si>
    <t>Ostatní závazky vůči zaměstnanci SL</t>
  </si>
  <si>
    <t>Ostatní závazky vůči zaměstnanci TK</t>
  </si>
  <si>
    <t>Ostatní závazky vůči zaměstnanci JK</t>
  </si>
  <si>
    <t>Ostatní závazky vůči zaměstnanci TS</t>
  </si>
  <si>
    <t>Ostatní závazky vůči zaměstnanci TB</t>
  </si>
  <si>
    <t>Ostatní závazky vůči zaměstnanci PL</t>
  </si>
  <si>
    <t>33x</t>
  </si>
  <si>
    <t>Zúčtování se zaměstnanci a institucemi</t>
  </si>
  <si>
    <t>Daň z přidané hodnoty</t>
  </si>
  <si>
    <t>Daň z přidané hodnoty - snížená sazba</t>
  </si>
  <si>
    <t>Daň z přidané hodnoty - základní sazba</t>
  </si>
  <si>
    <t>34x</t>
  </si>
  <si>
    <t>Zúčtování daní a dotací</t>
  </si>
  <si>
    <t>Jiné závazky ostatní</t>
  </si>
  <si>
    <t>Výdaje příštích období CZK</t>
  </si>
  <si>
    <t>Výdaje příštích období EUR</t>
  </si>
  <si>
    <t>Výdaje příštích období CHF</t>
  </si>
  <si>
    <t>Dohadné účty pasivní-USD</t>
  </si>
  <si>
    <t>Výsledek hospodaření ve schvalovacím řízení</t>
  </si>
  <si>
    <t>43x</t>
  </si>
  <si>
    <t>Výsledek hospodaření</t>
  </si>
  <si>
    <t>4xx</t>
  </si>
  <si>
    <t>Pasiva celkem</t>
  </si>
  <si>
    <t>Hospodářský zisk za období</t>
  </si>
  <si>
    <t>Hospodářský zisk celkem</t>
  </si>
  <si>
    <t>kapitál zapsaný na začátku podnikání; pokud je v EUR, pak přepočítat kurzem ČNB platným k ultimu vykazovaného období (nyní = k 30.9.2017)</t>
  </si>
  <si>
    <t>pohledávky</t>
  </si>
  <si>
    <t>nemáme naplń-konzultace čnb</t>
  </si>
  <si>
    <t>125 tis. Eur</t>
  </si>
  <si>
    <t>úvěrová a měnové expozice, nepovinné</t>
  </si>
  <si>
    <t>1/4 kapitálových nákladů předchozího roku</t>
  </si>
  <si>
    <t>1-12</t>
  </si>
  <si>
    <r>
      <t xml:space="preserve">ČESKÁ NÁRODNÍ BANKA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Výkaz: </t>
    </r>
    <r>
      <rPr>
        <b/>
        <sz val="10"/>
        <rFont val="Arial"/>
        <family val="2"/>
      </rPr>
      <t>FIS (ČNB) 10-12 / FISIFE10</t>
    </r>
  </si>
  <si>
    <t xml:space="preserve">                                                               Rozvaha a podrozvaha</t>
  </si>
  <si>
    <t>Část 1: Základní rozvaha</t>
  </si>
  <si>
    <t>Datová oblast: FIS10_11 Aktiva v základním členění</t>
  </si>
  <si>
    <t/>
  </si>
  <si>
    <t>Účetní hodnota</t>
  </si>
  <si>
    <t>A</t>
  </si>
  <si>
    <t>B</t>
  </si>
  <si>
    <t xml:space="preserve">   Pokladní hotovost, hotovost u centrálních bank a ostatní vklady splatné na požádání</t>
  </si>
  <si>
    <t xml:space="preserve">      Pokladní hotovost</t>
  </si>
  <si>
    <t xml:space="preserve">      Hotovost u centrálních bank</t>
  </si>
  <si>
    <t xml:space="preserve">      Ostatní vklady splatné na požádání</t>
  </si>
  <si>
    <t xml:space="preserve">   Finanční aktiva k obchodování</t>
  </si>
  <si>
    <t xml:space="preserve">      Deriváty k obchodování</t>
  </si>
  <si>
    <t xml:space="preserve">      Kapitálové nástroje k obchodování</t>
  </si>
  <si>
    <t xml:space="preserve">      Dluhové cenné papíry k obchodování</t>
  </si>
  <si>
    <t xml:space="preserve">      Úvěry a pohledávky k obchodování</t>
  </si>
  <si>
    <t xml:space="preserve">   Finanční aktiva jiná než k obchodování povinně v RH vykázané do zisku nebo ztráty</t>
  </si>
  <si>
    <t xml:space="preserve">      Kapitálové nástroje povinně v RH vykázané do zisku nebo ztráty</t>
  </si>
  <si>
    <t xml:space="preserve">      Dluhové cenné papíry povinně v RH vykázané do zisku nebo ztráty</t>
  </si>
  <si>
    <t xml:space="preserve">      Úvěry a pohledávky povinně v RH vykázané do zisku nebo ztráty</t>
  </si>
  <si>
    <t xml:space="preserve">   Finanční aktiva v reálné hodnotě vykázané do zisku nebo ztráty</t>
  </si>
  <si>
    <t xml:space="preserve">      Dluhové cenné papíry v reálné hodnotě vykázané do zisku nebo ztráty</t>
  </si>
  <si>
    <t xml:space="preserve">      Úvěry a pohledávky v reálné hodnotě vykázané do zisku nebo ztráty</t>
  </si>
  <si>
    <t xml:space="preserve">   Finanční aktiva v RH vykázané do úplného výsledku hospodaření</t>
  </si>
  <si>
    <t xml:space="preserve">      Kapitálové nástroje v RH vykázané do OCI</t>
  </si>
  <si>
    <t xml:space="preserve">      Dluhové cenné papíry v RH vykázané do OCI</t>
  </si>
  <si>
    <t xml:space="preserve">      Úvěry a pohledávky v RH vykázané do OCI</t>
  </si>
  <si>
    <t xml:space="preserve">   Finanční aktiva v naběhlé hodnotě</t>
  </si>
  <si>
    <t xml:space="preserve">      Dluhové cenné papíry v naběhlé hodnotě</t>
  </si>
  <si>
    <t xml:space="preserve">      Úvěry a pohledávky v naběhlé hodnotě</t>
  </si>
  <si>
    <t xml:space="preserve">   Zajišťovací deriváty</t>
  </si>
  <si>
    <t xml:space="preserve">   Změny reálné hodnoty portfolia zajišťovaných nástrojů</t>
  </si>
  <si>
    <t xml:space="preserve">   Účasti v dceřiných, společných a přidružených podnicích</t>
  </si>
  <si>
    <t xml:space="preserve">   Hmotný majetek</t>
  </si>
  <si>
    <t xml:space="preserve">      Pozemky, budovy a zařízení</t>
  </si>
  <si>
    <t xml:space="preserve">      Investiční nemovitosti</t>
  </si>
  <si>
    <t xml:space="preserve">   Nehmotný majetek</t>
  </si>
  <si>
    <t xml:space="preserve">      Goodwill</t>
  </si>
  <si>
    <t xml:space="preserve">      Ostatní nehmotný majetek</t>
  </si>
  <si>
    <t xml:space="preserve">   Daňové pohledávky</t>
  </si>
  <si>
    <t xml:space="preserve">      Pohledávky ze splatné daně</t>
  </si>
  <si>
    <t xml:space="preserve">      Pohledávky z odložené daně</t>
  </si>
  <si>
    <t xml:space="preserve">   Ostatní aktiva</t>
  </si>
  <si>
    <t xml:space="preserve">   Neoběžná aktiva a vyřazované skupiny určené k prodeji</t>
  </si>
  <si>
    <t>Datová oblast: FIS10_12 Závazky a vlastní kapitál v základním členění</t>
  </si>
  <si>
    <t>Závazky a vlastní kapitál celkem</t>
  </si>
  <si>
    <t xml:space="preserve">   Závazky celkem</t>
  </si>
  <si>
    <t xml:space="preserve">      Finanční závazky k obchodování</t>
  </si>
  <si>
    <t xml:space="preserve">         Deriváty k obchodování</t>
  </si>
  <si>
    <t xml:space="preserve">         Závazky z krátkých prodejů</t>
  </si>
  <si>
    <t xml:space="preserve">         Vklady k obchodování</t>
  </si>
  <si>
    <t xml:space="preserve">         Emitované dluhové CP k obchodování</t>
  </si>
  <si>
    <t xml:space="preserve">         Ostatní finanční závazky k obchodování</t>
  </si>
  <si>
    <t xml:space="preserve">      Finanční závazky v reálné hodnotě vykázané do zisku nebo ztráty</t>
  </si>
  <si>
    <t xml:space="preserve">         Vklady v reálné hodnotě vykázané do zisku nebo ztráty</t>
  </si>
  <si>
    <t xml:space="preserve">         Emitované dluhové CP v reálné hodnotě vykázané do zisku nebo ztráty</t>
  </si>
  <si>
    <t xml:space="preserve">         Ostatní fin.závazky v reálné hodnotě vykázané do zisku nebo ztráty</t>
  </si>
  <si>
    <t xml:space="preserve">      Finanční závazky v naběhlé hodnotě</t>
  </si>
  <si>
    <t xml:space="preserve">         Vklady v naběhlé hodnotě</t>
  </si>
  <si>
    <t xml:space="preserve">         Emitované dluhové cenné papíry v naběhlé hodnotě</t>
  </si>
  <si>
    <t xml:space="preserve">         Ostatní finanční závazky v naběhlé hodnotě</t>
  </si>
  <si>
    <t xml:space="preserve">      Zajišťovací deriváty</t>
  </si>
  <si>
    <t xml:space="preserve">      Změny reálné hodnoty portfolia zajišťovaných nástrojů</t>
  </si>
  <si>
    <t xml:space="preserve">      Rezervy</t>
  </si>
  <si>
    <t xml:space="preserve">         Rezervy na penze a ostatní definované požitky</t>
  </si>
  <si>
    <t xml:space="preserve">         Rezervy na ostatní dlouhodobé zaměstnanecké požitky</t>
  </si>
  <si>
    <t xml:space="preserve">         Rezervy na restrukturalizaci</t>
  </si>
  <si>
    <t xml:space="preserve">         Rezervy na právní problémy a daňové spory</t>
  </si>
  <si>
    <t xml:space="preserve">         Rezervy na poskytnuté přísliby a záruky</t>
  </si>
  <si>
    <t xml:space="preserve">         Ostatní rezervy</t>
  </si>
  <si>
    <t xml:space="preserve">      Daňové závazky</t>
  </si>
  <si>
    <t xml:space="preserve">         Závazky ze splatné daně</t>
  </si>
  <si>
    <t xml:space="preserve">         Závazky z odložené daně</t>
  </si>
  <si>
    <t xml:space="preserve">      Základní kapitál splatný na požádání</t>
  </si>
  <si>
    <t xml:space="preserve">      Ostatní závazky</t>
  </si>
  <si>
    <t xml:space="preserve">      Závazky spojené s vyřazovanými skupinami určenými k prodeji</t>
  </si>
  <si>
    <t xml:space="preserve">   Vlastní kapitál celkem</t>
  </si>
  <si>
    <t xml:space="preserve">      Základní kapitál</t>
  </si>
  <si>
    <t xml:space="preserve">         Splacený základní kapitál</t>
  </si>
  <si>
    <t xml:space="preserve">         Nesplacený základní kapitál</t>
  </si>
  <si>
    <t xml:space="preserve">      Emisní ážio</t>
  </si>
  <si>
    <t xml:space="preserve">      Vydané kapitálové nástroje jiné než základní kapitál</t>
  </si>
  <si>
    <t xml:space="preserve">         Kapitálová složka finančních nástrojů</t>
  </si>
  <si>
    <t xml:space="preserve">         Ostatní vydané kapitálové nástroje</t>
  </si>
  <si>
    <t xml:space="preserve">      Ostatní vlastní kapitál</t>
  </si>
  <si>
    <t xml:space="preserve">      Kumulovaný ostatní úplný výsledek hospodaření (OCI)</t>
  </si>
  <si>
    <t xml:space="preserve">         OCI z položek, které se nereklasifikují do zisku nebo ztráty</t>
  </si>
  <si>
    <t xml:space="preserve">            OCI z hmotného majetku</t>
  </si>
  <si>
    <t xml:space="preserve">            OCI z nehmotného majetku</t>
  </si>
  <si>
    <t xml:space="preserve">            OCI z penzijních plánů</t>
  </si>
  <si>
    <t xml:space="preserve">            OCI z neoběžných aktiv a ukončovaných skupin určených k prodeji, které se nereklasifikují do Z/Z</t>
  </si>
  <si>
    <t xml:space="preserve">            OCI z podílu na OCI dceřiných, společných a přidružených podniků, které se nereklasifikují do Z/Z</t>
  </si>
  <si>
    <t xml:space="preserve">            Změna RH kapitálových nástrojů vykázaných v RH do OCI</t>
  </si>
  <si>
    <t xml:space="preserve">            Neefektivní zajištění RH kapitálových nástrojů vykázaných v RH do OCI</t>
  </si>
  <si>
    <t xml:space="preserve">               Změna RH kapitálových nástrojů vykázaných v RH do OCI (zajišťované položky)</t>
  </si>
  <si>
    <t xml:space="preserve">               Změna RH kapitálových nástrojů vykázaných v RH do OCI (zajišťovací nástroje)</t>
  </si>
  <si>
    <t xml:space="preserve">            Změna RH finančních závazků vykázaných v RH do Z/Z z titulu úvěrového rizika</t>
  </si>
  <si>
    <t xml:space="preserve">         OCI z položek, které se reklasifikují do zisku nebo ztráty</t>
  </si>
  <si>
    <t xml:space="preserve">            OCI ze zajištění čistých investic do zahraničních jednotek (efektivní část)</t>
  </si>
  <si>
    <t xml:space="preserve">            OCI z kurzových rozdílů</t>
  </si>
  <si>
    <t xml:space="preserve">            OCI ze zajišťovacích derivátů k zajištění peněžních toků (efektivní část)</t>
  </si>
  <si>
    <t xml:space="preserve">            Změna RH dluhových nástrojů vykázaných v RH do OCI</t>
  </si>
  <si>
    <t xml:space="preserve">            Zajišťovací nástroje neuvedené samostatně</t>
  </si>
  <si>
    <t xml:space="preserve">            OCI z neoběžných aktiv a ukončovaných skupin určených k prodeji, které se reklasifikují do Z/Z</t>
  </si>
  <si>
    <t xml:space="preserve">            OCI z podílu na OCI dceřiných, společných a přidružených podniků, které se reklasifikují do Z/Z</t>
  </si>
  <si>
    <t xml:space="preserve">      Nerozdělený zisk nebo neuhrazená ztráta z předchozích období</t>
  </si>
  <si>
    <t xml:space="preserve">      Rozdíly z ocenění</t>
  </si>
  <si>
    <t xml:space="preserve">      Rezervní fondy</t>
  </si>
  <si>
    <t xml:space="preserve">         Podíl na změnách rezervních fondů, nerozděleného zisku a neuhrazené ztráty v dceřiných, společných a přidružených podnicích</t>
  </si>
  <si>
    <t xml:space="preserve">         Ostatní rezervní fondy</t>
  </si>
  <si>
    <t xml:space="preserve">      (-) Vlastní akcie</t>
  </si>
  <si>
    <t xml:space="preserve">      Zisk nebo ztráta za běžné účetní období</t>
  </si>
  <si>
    <t xml:space="preserve">      (-) Mezitímní dividendy</t>
  </si>
  <si>
    <t xml:space="preserve">      Menšinové podíly</t>
  </si>
  <si>
    <t>X</t>
  </si>
  <si>
    <t xml:space="preserve">         Menšinové podíly na OCI (kumulovaného ostatního úplného výsledku hospodaření)</t>
  </si>
  <si>
    <t xml:space="preserve">         Ostatní menšinové podíly</t>
  </si>
  <si>
    <r>
      <t xml:space="preserve">ČESKÁ NÁRODNÍ BANKA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Výkaz: </t>
    </r>
    <r>
      <rPr>
        <b/>
        <sz val="10"/>
        <rFont val="Arial"/>
        <family val="2"/>
      </rPr>
      <t>FIS (ČNB) 20-12 / FISIFE20</t>
    </r>
  </si>
  <si>
    <t xml:space="preserve">                                                              Výkaz zisku nebo ztráty</t>
  </si>
  <si>
    <t>Část 1: Výnosy, náklady, zisk nebo ztráta</t>
  </si>
  <si>
    <t>Datová oblast: FIS20_11 Přehled výnosů, nákladů, zisku nebo ztráty</t>
  </si>
  <si>
    <t>Hodnota za běžné období</t>
  </si>
  <si>
    <t>Úrokové výnosy</t>
  </si>
  <si>
    <t xml:space="preserve">   Úroky z finančních aktiv k obchodování</t>
  </si>
  <si>
    <t xml:space="preserve">   Úroky z finančních aktiv jiných než k obchodování povinně v RH vykázané do zisku nebo ztráty</t>
  </si>
  <si>
    <t xml:space="preserve">   Úroky z finančních aktiv v reálné hodnotě vykázané do zisku nebo ztráty</t>
  </si>
  <si>
    <t xml:space="preserve">   Úroky z fnančních aktiv v reálné hodnotě vykázané do OCI</t>
  </si>
  <si>
    <t xml:space="preserve">   Úroky z finančních aktiv v naběhlé hodnotě</t>
  </si>
  <si>
    <t xml:space="preserve">   Zisk ze zajišťovacích úrokových derivátů</t>
  </si>
  <si>
    <t xml:space="preserve">   Úroky z ostatních aktiv</t>
  </si>
  <si>
    <t xml:space="preserve">   Úroky ze závazků</t>
  </si>
  <si>
    <t>Úrokové náklady</t>
  </si>
  <si>
    <t xml:space="preserve">   Úroky na finanční závazky k obchodování</t>
  </si>
  <si>
    <t xml:space="preserve">   Úroky na finanční závazky v reálné hodnotě vykázané do zisku nebo ztráty</t>
  </si>
  <si>
    <t xml:space="preserve">   Úroky na finanční závazky v naběhlé hodnotě</t>
  </si>
  <si>
    <t xml:space="preserve">   Ztráta ze zajišťovacích úrokových derivátů</t>
  </si>
  <si>
    <t xml:space="preserve">   Úroky na ostatní závazky</t>
  </si>
  <si>
    <t xml:space="preserve">   Úroky na aktiva</t>
  </si>
  <si>
    <t>Náklady na základní kapitál splatný na požádání</t>
  </si>
  <si>
    <t>Výnosy z dividend</t>
  </si>
  <si>
    <t xml:space="preserve">   Výnosy z dividend z finančních aktiv k obchodování</t>
  </si>
  <si>
    <t xml:space="preserve">   Výnosy z dividend z finančních aktiv jiných než k obchodování povinně v RH vykázané do zisku nebo ztráty</t>
  </si>
  <si>
    <t xml:space="preserve">   Výnosy z dividend z fnančních aktiv v reálné hodnotě vykázané do OCI</t>
  </si>
  <si>
    <t xml:space="preserve">   Výnosy z dividend z účastí v dceřiných, společných a přidružených podnicích neoceňovaných metodou ekvivalence</t>
  </si>
  <si>
    <t>Výnosy z poplatků a provizí</t>
  </si>
  <si>
    <t>Náklady na poplatky a provize</t>
  </si>
  <si>
    <t>Zisk nebo (-) ztráta z odúčtování finančních aktiv a závazků nevykázaných v RH do Z/Z</t>
  </si>
  <si>
    <t xml:space="preserve">   Zisk nebo (-) ztráta z finančních aktiv v reálné hodnotě vykázané do OCI</t>
  </si>
  <si>
    <t xml:space="preserve">   Zisk nebo (-) ztráta z finančních aktiv v naběhlé hodnotě</t>
  </si>
  <si>
    <t xml:space="preserve">   Zisk nebo (-) ztráta z finančních závazků v naběhlé hodnotě</t>
  </si>
  <si>
    <t xml:space="preserve">   Zisk nebo (-) ztráta z ostatních finančních závazků</t>
  </si>
  <si>
    <t>Zisk nebo (-) ztráta z finančních aktiv a závazků k obchodování</t>
  </si>
  <si>
    <t>Zisk nebo (-) ztráta z finančních aktiv neurčených k obchodování povinně v RH vykázané do zisku nebo ztráty</t>
  </si>
  <si>
    <t>Zisk nebo (-) ztráta z finančních aktiv a závazků v RH vykázané do zisku nebo ztráty</t>
  </si>
  <si>
    <t>Zisk nebo (-) ztráta ze zajišťovacího účetnictví</t>
  </si>
  <si>
    <t>Kurzové rozdíly - zisk nebo (-) ztráta</t>
  </si>
  <si>
    <t>Zisk nebo (-) ztráta z odúčtování nefinančních aktiv</t>
  </si>
  <si>
    <t>Ostatní provozní výnosy</t>
  </si>
  <si>
    <t>Ostatní provozní náklady</t>
  </si>
  <si>
    <t>Zisk nebo (-) ztráta z provozní činnosti</t>
  </si>
  <si>
    <t>Správní náklady</t>
  </si>
  <si>
    <t xml:space="preserve">   Náklady na zaměstnance</t>
  </si>
  <si>
    <t xml:space="preserve">   Ostatní správní náklady</t>
  </si>
  <si>
    <t>Odpisy</t>
  </si>
  <si>
    <t xml:space="preserve">   Odpisy pozemků, budov a zařízení</t>
  </si>
  <si>
    <t xml:space="preserve">   Odpisy investic do nemovitostí</t>
  </si>
  <si>
    <t xml:space="preserve">   Odpisy nehmotného majetku</t>
  </si>
  <si>
    <t>Zisk nebo (-) ztráta z modifikace</t>
  </si>
  <si>
    <t xml:space="preserve">   Zisk nebo (-) ztráta z modifikace finančních aktiv v RH vykázané do OCI</t>
  </si>
  <si>
    <t xml:space="preserve">   Zisk nebo (-) ztráta z modifikace finančních aktiv v naběhlé hodnotě</t>
  </si>
  <si>
    <t>Tvorba rezerv nebo jejich (-) reverzování</t>
  </si>
  <si>
    <t xml:space="preserve">   Rezervy na poskytnuté přísliby a záruky nebo jejich (-) reverzování</t>
  </si>
  <si>
    <t xml:space="preserve">   Ostatní rezervy nebo jejich (-) reverzování</t>
  </si>
  <si>
    <t>Ztráty ze znehodnocení finan.aktiv nevykázaných v RH do Z/Z nebo jejich (-) reverzování</t>
  </si>
  <si>
    <t xml:space="preserve">   Ztráty ze znehodnocení finan. aktiv v RH vykázané do OCI nebo jejich (-) reverzování</t>
  </si>
  <si>
    <t xml:space="preserve">   Ztráty ze znehodnocení finan. aktiv v naběhlé hodnotě nebo jejich (-) reverzování</t>
  </si>
  <si>
    <t>Ztráty ze znehodnocení investic v dceřiných, společných a přidružených podnicích nebo jejich (-) reverzování</t>
  </si>
  <si>
    <t>Ztráty ze znehodnocení nefinančních aktiv nebo jejich (-) reverzování</t>
  </si>
  <si>
    <t xml:space="preserve">   Ztráty ze znehodnocení pozemků, budov a zařízení nebo jejich (-) reverzování</t>
  </si>
  <si>
    <t xml:space="preserve">   Ztráty ze znehodnocení z investic do nemovitostí nebo jejich (-) reverzování</t>
  </si>
  <si>
    <t xml:space="preserve">   Ztráty ze znehodnocení goodwillu nebo jejich (-) reverzování</t>
  </si>
  <si>
    <t xml:space="preserve">   Ztráty ze znehodnocení nehmotného majetku nebo jejich (-) reverzování</t>
  </si>
  <si>
    <t xml:space="preserve">   Ztráty ze znehodnocení ostatních nefinančních aktiv nebo jejich (-) reverzování</t>
  </si>
  <si>
    <t>Negativní goodwill účtovaný do výkazu zisku nebo ztráty</t>
  </si>
  <si>
    <t>Podíl na zisku nebo (-) ztrátě dceřiných, společných a přidružených podniků oceňovaných metodou ekvivalence</t>
  </si>
  <si>
    <t>Zisk nebo (-) ztráta z neoběžných aktiv a vyřazovaných skupin</t>
  </si>
  <si>
    <t>Zisk nebo (-) ztráta z pokračujících činností před zdaněním</t>
  </si>
  <si>
    <t>Náklady nebo (-) výnosy na daň z příjmů z pokračujících činností</t>
  </si>
  <si>
    <t>Zisk nebo (-) ztráta z pokračujících činnosti po zdanění</t>
  </si>
  <si>
    <t>Zisk nebo (-) ztráta z ukončovaných činností po zdanění</t>
  </si>
  <si>
    <t xml:space="preserve">   Zisk nebo (-) ztráta z ukončovaných činností před zdaněním</t>
  </si>
  <si>
    <t xml:space="preserve">   Náklady nebo (-) výnosy na daň z příjmů z ukončovaných činností</t>
  </si>
  <si>
    <t>Zisk nebo (-) ztráta běžného roku po zdanění</t>
  </si>
  <si>
    <t xml:space="preserve">   Menšinové podíly na zisku nebo (-) ztrátě</t>
  </si>
  <si>
    <t xml:space="preserve">   Zisk nebo (-) ztráta mateřského podniku bez menšinových podílů</t>
  </si>
  <si>
    <t>Zatížená a nezatížená aktiva - AES20_13 - Zatížená a nezatížená aktiva</t>
  </si>
  <si>
    <r>
      <t>Celková aktiva </t>
    </r>
    <r>
      <rPr>
        <sz val="7.5"/>
        <color indexed="8"/>
        <rFont val="Serif"/>
        <family val="0"/>
      </rPr>
      <t>(</t>
    </r>
    <r>
      <rPr>
        <b/>
        <sz val="7.5"/>
        <color indexed="8"/>
        <rFont val="Serif"/>
        <family val="0"/>
      </rPr>
      <t>Σ</t>
    </r>
    <r>
      <rPr>
        <sz val="7.5"/>
        <color indexed="8"/>
        <rFont val="Serif"/>
        <family val="0"/>
      </rPr>
      <t>)</t>
    </r>
  </si>
  <si>
    <t>Úvěry splatné na požádání</t>
  </si>
  <si>
    <t>Kapitálové nástroje</t>
  </si>
  <si>
    <t>Dluhové cenné papíry celkem</t>
  </si>
  <si>
    <t>z toho: kryté dluhopisy</t>
  </si>
  <si>
    <t>z toho: kryté dluhopisy emitované jiným subjektem ze skupiny</t>
  </si>
  <si>
    <t>z toho: cenné papíry zajištěné aktivy</t>
  </si>
  <si>
    <t>z toho: cenné papíry zajištěné aktivy emitované jiným subjektem ze skupiny</t>
  </si>
  <si>
    <t>z toho: dluhové cenné papíry emitované vládními institucemi</t>
  </si>
  <si>
    <t>z toho: dluhové cenné papíry emitované finančními institucemi</t>
  </si>
  <si>
    <t>z toho: dluhové cenné papíry emitované nefinančními podniky</t>
  </si>
  <si>
    <t>Úvěry a pohledávky jiné než splatné na požádání vůči centrálním bankám a vládním institucím</t>
  </si>
  <si>
    <t>Úvěry a pohledávky jiné než splatné na požádání vůči finančním institucím</t>
  </si>
  <si>
    <t>Úvěry a pohledávky jiné než splatné na požádání vůči nefinančním podnikům</t>
  </si>
  <si>
    <t>z toho: úvěry zajištěné nemovitostmi vůči nefinančním podnikům</t>
  </si>
  <si>
    <t>Úvěry a pohledávky jiné než splatné na požádání vůči domácnostem</t>
  </si>
  <si>
    <t>z toho: úvěry zajištěné nemovitostmi vůči domácnostem</t>
  </si>
  <si>
    <t>Ostatní aktiva</t>
  </si>
  <si>
    <t>            1            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</si>
  <si>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</si>
  <si>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</si>
  <si>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</si>
  <si>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</si>
  <si>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</si>
  <si>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</si>
  <si>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</si>
  <si>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            9            </t>
  </si>
  <si>
    <t>            10            </t>
  </si>
  <si>
    <t>            11            </t>
  </si>
  <si>
    <t>            12            </t>
  </si>
  <si>
    <t>            13            </t>
  </si>
  <si>
    <t>            14            </t>
  </si>
  <si>
    <t>            15            </t>
  </si>
  <si>
    <t>            16            </t>
  </si>
  <si>
    <t>            17            </t>
  </si>
  <si>
    <t>            18            </t>
  </si>
  <si>
    <r>
      <t>Zatížená a nezatížená aktiva celkem </t>
    </r>
    <r>
      <rPr>
        <sz val="7.5"/>
        <color indexed="8"/>
        <rFont val="Serif"/>
        <family val="0"/>
      </rPr>
      <t>(</t>
    </r>
    <r>
      <rPr>
        <b/>
        <sz val="7.5"/>
        <color indexed="8"/>
        <rFont val="Serif"/>
        <family val="0"/>
      </rPr>
      <t>Σ</t>
    </r>
    <r>
      <rPr>
        <sz val="7.5"/>
        <color indexed="8"/>
        <rFont val="Serif"/>
        <family val="0"/>
      </rPr>
      <t>)</t>
    </r>
  </si>
  <si>
    <t> 1 </t>
  </si>
  <si>
    <t>Zatížená aktiva celkem</t>
  </si>
  <si>
    <t> 2 </t>
  </si>
  <si>
    <t>Zatížená aktiva přijímaná centrální bankou</t>
  </si>
  <si>
    <t> 3 </t>
  </si>
  <si>
    <t>Nezatížená aktiva celkem</t>
  </si>
  <si>
    <t> 4 </t>
  </si>
  <si>
    <t>Nezatížená aktiva přijímaná centrální bankou</t>
  </si>
  <si>
    <t> 5 </t>
  </si>
  <si>
    <t>Přehled zatížení - AES10_11 - Aktiva vykazující osoby</t>
  </si>
  <si>
    <t>Kontrola</t>
  </si>
  <si>
    <t>Účetní hodnota zatížených položek</t>
  </si>
  <si>
    <t>Účetní hodnota zatížených položek / z toho: emitované jiným subjektem ze skupiny</t>
  </si>
  <si>
    <t>Účetní hodnota zatížených položek / z toho: přijímané centrální bankou</t>
  </si>
  <si>
    <t>Reálná hodnota zatížených položek</t>
  </si>
  <si>
    <t>Účetní hodnota nezatížených položek</t>
  </si>
  <si>
    <t>Účetní hodnota nezatížených položek / z toho: emitované jiným subjektem ze skupiny</t>
  </si>
  <si>
    <t>Účetní hodnota nezatížených položek / z toho: přijímané centrální bankou</t>
  </si>
  <si>
    <t>Reálná hodnota nezatížených položek</t>
  </si>
  <si>
    <t>RH nezatížených položek / z toho: přijímané centrální bankou</t>
  </si>
  <si>
    <r>
      <t>Aktiva </t>
    </r>
    <r>
      <rPr>
        <sz val="7.5"/>
        <color indexed="8"/>
        <rFont val="Serif"/>
        <family val="0"/>
      </rPr>
      <t>(</t>
    </r>
    <r>
      <rPr>
        <b/>
        <sz val="7.5"/>
        <color indexed="8"/>
        <rFont val="Serif"/>
        <family val="0"/>
      </rPr>
      <t>Σ</t>
    </r>
    <r>
      <rPr>
        <sz val="7.5"/>
        <color indexed="8"/>
        <rFont val="Serif"/>
        <family val="0"/>
      </rPr>
      <t>)</t>
    </r>
  </si>
  <si>
    <t>Dluhové cenné papíry</t>
  </si>
  <si>
    <t>Dluhové cenné papíry - kryté dluhopisy</t>
  </si>
  <si>
    <t>Dluhové cenné papíry - cenné papíry zajištěné aktivy</t>
  </si>
  <si>
    <t> 6 </t>
  </si>
  <si>
    <t>Dluhové cenné papíry - emitované vládními institucemi</t>
  </si>
  <si>
    <t> 7 </t>
  </si>
  <si>
    <t>Dluhové cenné papíry - emitované finančními institucemi</t>
  </si>
  <si>
    <t> 8 </t>
  </si>
  <si>
    <t>Dluhové cenné papíry - emitované nefinančními podniky</t>
  </si>
  <si>
    <t> 9 </t>
  </si>
  <si>
    <t>Úvěry a pohledávky jiné než úvěry splatné na požádání</t>
  </si>
  <si>
    <t> 10 </t>
  </si>
  <si>
    <t>Úvěry a pohledávky zajištěné nemovitostmi</t>
  </si>
  <si>
    <t> 11 </t>
  </si>
  <si>
    <t>Jiná aktiva</t>
  </si>
  <si>
    <t> 12 </t>
  </si>
  <si>
    <t>Rok: 2018</t>
  </si>
  <si>
    <t>BU Peněžní prostředky v pokladně</t>
  </si>
  <si>
    <t>BU PokladnaTRY</t>
  </si>
  <si>
    <t>BU Stravenky</t>
  </si>
  <si>
    <t>11x</t>
  </si>
  <si>
    <t>Materiál</t>
  </si>
  <si>
    <t>BU Bankovní účet CZK - eBanka</t>
  </si>
  <si>
    <t>BU Bankovní účet CZK - UBS</t>
  </si>
  <si>
    <t>BU Bankovní účet CZK - GUTZ</t>
  </si>
  <si>
    <t>BU Bankovní účet - Raiff. mzdy</t>
  </si>
  <si>
    <t>BU Bankovní účet EUR - UBS</t>
  </si>
  <si>
    <t>BU Bankovní účet EUR - GUTZ</t>
  </si>
  <si>
    <t>BU Bankovní účet USD - UBS</t>
  </si>
  <si>
    <t>BU Bankovní účet USD - GUTZ</t>
  </si>
  <si>
    <t>BU Bankovní účet CHF - UBS</t>
  </si>
  <si>
    <t>BU Bankovní účet CHF - GUTZ</t>
  </si>
  <si>
    <t>13x</t>
  </si>
  <si>
    <t>Zboží</t>
  </si>
  <si>
    <t>BU Peníze na cestě</t>
  </si>
  <si>
    <t>BU Peníze na cestě - platba kartou</t>
  </si>
  <si>
    <t>18x</t>
  </si>
  <si>
    <t>1xx</t>
  </si>
  <si>
    <t>BU Pohledávky z obchodního styku - CZK</t>
  </si>
  <si>
    <t>BU Pohledávky z obchodního styku - EUR</t>
  </si>
  <si>
    <t>BU Dlouhodobé pohledávky - EUR</t>
  </si>
  <si>
    <t>BU Poskytnuté provozní zálohy - CZK</t>
  </si>
  <si>
    <t>BU Náklady příštích období - účet 63602</t>
  </si>
  <si>
    <t>BU Náklady příštích období - účet 63606</t>
  </si>
  <si>
    <t>BU Náklady příštích období</t>
  </si>
  <si>
    <t>BU Náklady příštích období - účet 63662</t>
  </si>
  <si>
    <t>BU - Příjmy příštích období v EUR</t>
  </si>
  <si>
    <t>35x</t>
  </si>
  <si>
    <t>Pohledávky za společníky</t>
  </si>
  <si>
    <t>BU DHM - inventář</t>
  </si>
  <si>
    <t>BU DHM - vozidla</t>
  </si>
  <si>
    <t>BU Umělecká díla a sbírky</t>
  </si>
  <si>
    <t>BU Opravky k samost. hmotným movitým věcem a souborům</t>
  </si>
  <si>
    <t>BU Pořizení dlouhodobého hmotného majetku</t>
  </si>
  <si>
    <t>44x</t>
  </si>
  <si>
    <t>BU Software</t>
  </si>
  <si>
    <t>BU Oprávky k softwaru (nad 60.000)</t>
  </si>
  <si>
    <t>47x</t>
  </si>
  <si>
    <t>Dlouhodobé závazky</t>
  </si>
  <si>
    <t>BU Závazky k úvěrovým institucím</t>
  </si>
  <si>
    <t>BU Ostatní závazky ke společníkům TM</t>
  </si>
  <si>
    <t>BU Závazky ke společníků ze závislé činnosti</t>
  </si>
  <si>
    <t>BU Závazky z obchodních vztahů - CZK</t>
  </si>
  <si>
    <t>BU Závazky z obchodních vztahů - EUR</t>
  </si>
  <si>
    <t>BU Závazky z obchodních vztahů - USD</t>
  </si>
  <si>
    <t>BU Ostatní závazky</t>
  </si>
  <si>
    <t>BU Jiné závazky ostatní</t>
  </si>
  <si>
    <t>BU Ostatní závazky vůči zaměstnanci ŠL</t>
  </si>
  <si>
    <t>BU Ostatní závazky vůči zaměstnanci TK</t>
  </si>
  <si>
    <t>BU Ostatní závazky vůči zaměstnanci TS</t>
  </si>
  <si>
    <t>BU Zaměstnanci</t>
  </si>
  <si>
    <t>BU Zúčtování s institucemi sociál. pojištění</t>
  </si>
  <si>
    <t>BU Zúčtování s institucemi ZP - OZP</t>
  </si>
  <si>
    <t>BU Zúčtování s institucemi ZP - VZP</t>
  </si>
  <si>
    <t>BU Zúčtování s institucemi ZP - ZPMV</t>
  </si>
  <si>
    <t>BU Daň z příjmů</t>
  </si>
  <si>
    <t>BU Daň z přidané hodnoty - snížená sazba</t>
  </si>
  <si>
    <t>BU Daň z přidané hodnoty - základní sazba</t>
  </si>
  <si>
    <t>BU Daň z přidané hodnoty</t>
  </si>
  <si>
    <t>BU Ostatní přímé daně</t>
  </si>
  <si>
    <t>BU Odložený daňový závazek a pohledávka</t>
  </si>
  <si>
    <t>BU Výdaje příštích období - CZK</t>
  </si>
  <si>
    <t>BU Výdaje příštích období - USD</t>
  </si>
  <si>
    <t>BU Výdaje příštích období - CHF</t>
  </si>
  <si>
    <t>BU Základní kapitál - splacený ŠL</t>
  </si>
  <si>
    <t>BU Základní kapitál - splacený TK</t>
  </si>
  <si>
    <t>BU Základní kapitál - splacený TS</t>
  </si>
  <si>
    <t>BU Základní kapitál - splacený TM</t>
  </si>
  <si>
    <t>BU Nerozdělený zisk minulých let</t>
  </si>
  <si>
    <t>45x</t>
  </si>
  <si>
    <t>Rezervy</t>
  </si>
  <si>
    <t>BU Mzdové náklady</t>
  </si>
  <si>
    <t>BU Příjmy společníků obchodní korporace ze závislé činnosti</t>
  </si>
  <si>
    <t>BU Zákonné sociální a zdravotní pojistění</t>
  </si>
  <si>
    <t>BU Vydané stravenky - zák. 55%</t>
  </si>
  <si>
    <t>BU Vydané stravenky - nedaň.</t>
  </si>
  <si>
    <t>BU Spotřeba materiál</t>
  </si>
  <si>
    <t>BU Drobný majetek</t>
  </si>
  <si>
    <t>BU Náklady na kancelářské potřeby</t>
  </si>
  <si>
    <t>BU Náklady na čistící prostředky</t>
  </si>
  <si>
    <t>BU Náklady na reprezentaci</t>
  </si>
  <si>
    <t>BU Nájemné</t>
  </si>
  <si>
    <t>BU Poštovné</t>
  </si>
  <si>
    <t>BU Poštovné - DHL</t>
  </si>
  <si>
    <t>BU Telefonní poplatky - pevná</t>
  </si>
  <si>
    <t>BU Telefonní poplatky - mobil</t>
  </si>
  <si>
    <t>BU Právní služby, notář</t>
  </si>
  <si>
    <t>BU Servis počítače, internet</t>
  </si>
  <si>
    <t>BU Pronájem Bloomberg</t>
  </si>
  <si>
    <t>BU Školení, výuka jazyků</t>
  </si>
  <si>
    <t>BU Úklid</t>
  </si>
  <si>
    <t>BU Servis vozidla</t>
  </si>
  <si>
    <t>BU Ostatní služby</t>
  </si>
  <si>
    <t>BU Zpracování účetnictví</t>
  </si>
  <si>
    <t>BU Účetní konzultace, audit</t>
  </si>
  <si>
    <t>BU Ostatní provozní náklady - zaokrouhlení</t>
  </si>
  <si>
    <t>BU Ostatní provozní náklady - pojištění</t>
  </si>
  <si>
    <t>BU Ostatní a mimořádné finanční náklady</t>
  </si>
  <si>
    <t>BU Odpisy HM nad 40.000 - účetní</t>
  </si>
  <si>
    <t>BU Odpisy NM nad 60.000 - účetní</t>
  </si>
  <si>
    <t>56x</t>
  </si>
  <si>
    <t>Finanční náklady</t>
  </si>
  <si>
    <t>BU Kursové ztráty - realizované</t>
  </si>
  <si>
    <t>57x</t>
  </si>
  <si>
    <t>Rezervy a opravné položky ve finanční oblasti</t>
  </si>
  <si>
    <t>Náklady celkem</t>
  </si>
  <si>
    <t>Výnosy</t>
  </si>
  <si>
    <t>BU Kursové zisky - realizované</t>
  </si>
  <si>
    <t>BU Tržby z prodeje služeb (poradenství investice)</t>
  </si>
  <si>
    <t>BU Tržby z prodeje služeb (Accredio Swiss)</t>
  </si>
  <si>
    <t>BU Ostatní provozní výnosy</t>
  </si>
  <si>
    <t>BU Ostatní provozní výnosy - zaokrouhlení</t>
  </si>
  <si>
    <t>67x</t>
  </si>
  <si>
    <t>Výnosy celkem</t>
  </si>
  <si>
    <t>úroky</t>
  </si>
  <si>
    <t>BU Peníze na cestě - výběr z bankomatu</t>
  </si>
  <si>
    <t>BU Náklady příštích období - účet 63631</t>
  </si>
  <si>
    <t>BU Náklady na knihy, časopisy</t>
  </si>
  <si>
    <t>BU Spotřeba energie</t>
  </si>
  <si>
    <t>BU Náklady na dopravu CZK</t>
  </si>
  <si>
    <t>BU Náklady na stravování CZK</t>
  </si>
  <si>
    <t>BU Náklady na dopravu - zagr.</t>
  </si>
  <si>
    <t>BU Náklady na stravování - zahr.</t>
  </si>
  <si>
    <t>BU Náklady na reprezentaci (akce pro klienty)</t>
  </si>
  <si>
    <t>BU Provozní náklady (Wratislaw Palace)</t>
  </si>
  <si>
    <t>BU Náklady za Compliance</t>
  </si>
  <si>
    <t>BU Zapůjčení automobilu, letounu</t>
  </si>
  <si>
    <t>BU Náklady na reklamu</t>
  </si>
  <si>
    <t>BU Daň z příjmů - splatná</t>
  </si>
  <si>
    <t>14.4290257257516</t>
  </si>
  <si>
    <t>4995.73670443</t>
  </si>
  <si>
    <t>4241.01964924</t>
  </si>
  <si>
    <t>3234.73024232</t>
  </si>
  <si>
    <t>NUTNO PROVÉST PŘEPOČET SOUČTŮ</t>
  </si>
  <si>
    <t>Celková aktiva</t>
  </si>
  <si>
    <t>Dluh bez majetku klientů</t>
  </si>
  <si>
    <t>Vlastní kapitál</t>
  </si>
  <si>
    <t>Zisk po zdanění</t>
  </si>
  <si>
    <t>Tržby celkové</t>
  </si>
  <si>
    <t>Průměrný kapitál TIER 1</t>
  </si>
  <si>
    <t>Počet pracovníků</t>
  </si>
  <si>
    <t>Zadluženost I (celkový dluh bez majetku klientů/aktiva bez majetku klientů)</t>
  </si>
  <si>
    <t>Zadluženost II (celkový dluh bez majetku klientů/vlastní kapitál)</t>
  </si>
  <si>
    <t>Rentabilita průměrných aktiv (ROAA, aktiva bez majetku klientů)</t>
  </si>
  <si>
    <t>Rentabilita průměrného kapitálu tier 1 (ROAE)</t>
  </si>
  <si>
    <t>Rentabilita tržeb (zisk po zdanění/výnosy z investičních služeb)</t>
  </si>
  <si>
    <t xml:space="preserve">Správní náklady na jednoho pracovníka </t>
  </si>
  <si>
    <t>Rentabilita průměrných aktiv (ROAA)</t>
  </si>
  <si>
    <t xml:space="preserve">Aktiva na jednoho pracovníka </t>
  </si>
  <si>
    <r>
      <t>Zisk nebo ztráta po zdanění na jednoho pracovníka</t>
    </r>
    <r>
      <rPr>
        <sz val="10"/>
        <color indexed="10"/>
        <rFont val="Arial"/>
        <family val="2"/>
      </rPr>
      <t xml:space="preserve"> </t>
    </r>
  </si>
  <si>
    <t>V. Část 2</t>
  </si>
  <si>
    <t>Údaje o kapitálu a kapitálových požadavcích</t>
  </si>
  <si>
    <t>Vyhláška č.163/2014 Sb., příloha 14</t>
  </si>
  <si>
    <t>Informace platné k datu:</t>
  </si>
  <si>
    <t>Uveřejňují se údaje o kapitálu a kapitálových požadavcích podle článku podle článku 438 písm. c) až f) nařízení č. 575/2013/EU</t>
  </si>
  <si>
    <t>Bod 1 písm. b)</t>
  </si>
  <si>
    <t>V případě institucí, které počítají objem rizikově vážených expozic podle části třetí hlavy II kapitoly 2, 
8 % objemu rizikově vážených expozic pro každou kategorii expozic uvedenou v článku 112 nařízení 2013/575/EU</t>
  </si>
  <si>
    <t>Expozice vůči ústředním vládám nebo centrálním bankám</t>
  </si>
  <si>
    <t>čl. 438 písm. c) nařízení 575/2013 EU</t>
  </si>
  <si>
    <t>Expozice vůči regionálním vládám nebo místním orgánům</t>
  </si>
  <si>
    <t>Expozice vůči subjektům veřejného sektoru</t>
  </si>
  <si>
    <t>Expozice vůči mezinárodním rozvojovým bankám</t>
  </si>
  <si>
    <t>Expozice vůči mezinárodním organizacím</t>
  </si>
  <si>
    <t>Expozice vůči institucím</t>
  </si>
  <si>
    <t>Expozice vůči podnikům</t>
  </si>
  <si>
    <t>Retailové expozice</t>
  </si>
  <si>
    <t>Expozice zajištěné nemovitostmi</t>
  </si>
  <si>
    <t>Expozice v selhání</t>
  </si>
  <si>
    <t>Expozice spojené s obzvláště vysokým rizikem</t>
  </si>
  <si>
    <t>Expozice v krytých dluhopisech</t>
  </si>
  <si>
    <t>Položky představující sekuritizované pozice</t>
  </si>
  <si>
    <t>Expozice vůči institucím a podnikům s krátkodobým úvěrovým hodnocením</t>
  </si>
  <si>
    <t>Expozice ve formě podílových jednotek nebo akcií v subjektech kolektivního investování</t>
  </si>
  <si>
    <t>Akciové expozice</t>
  </si>
  <si>
    <t>Ostatní položky</t>
  </si>
  <si>
    <t xml:space="preserve"> kapitálové požadavky vypočítané podle čl. 92 odst. 3 písm. b) a c) nařízení 2013/575/EU</t>
  </si>
  <si>
    <t>K pozičnímu riziku</t>
  </si>
  <si>
    <t>čl. 438 písm. e) nařízení 575/2013 EU</t>
  </si>
  <si>
    <t>Pro velké expozice přesahující limity stanovené v článcích 395 až 401, pokud je instituci povoleno tyto limity překročit</t>
  </si>
  <si>
    <t>K měnovému riziku</t>
  </si>
  <si>
    <t>K vypořádacímu riziku</t>
  </si>
  <si>
    <t>Ke komoditnímu riziku</t>
  </si>
  <si>
    <t xml:space="preserve"> Kapitálové požadavky vypočítané podle části třetí hlavy III kapitol 2, 3 a 4 Nařízení 2013/575/EU a zpřístupňované odděleně</t>
  </si>
  <si>
    <t>Kapitálový požadavek podle hlavy III kapitoly 2 Nařízení 2013/575/EU</t>
  </si>
  <si>
    <t>čl. 438 písm. f) nařízení 575/2013 EU</t>
  </si>
  <si>
    <t>Kapitálový požadavek podle hlavy III kapitoly 3 Nařízení 2013/575/EU</t>
  </si>
  <si>
    <t>Kapitálový požadavek podle hlavy III kapitoly 4 Nařízení 2013/575/EU</t>
  </si>
  <si>
    <t>V případě institucí, které počítají objem rizikově vážených expozic podle části třetí hlavy II kapitoly 3, 
8 % objemu rizikově vážených expozic pro každou kategorii expozic uvedenou v článku 147. V případě kategorie retailových expozic se tento požadavek použije na každou kategorii expozic, které odpovídají různé korelace podle čl. 154 odst. 1 až 4 nařízení 2013/575/EU</t>
  </si>
  <si>
    <t>čl. 438 písm. d) nařízení 575/2013 EU</t>
  </si>
  <si>
    <t>V případě kategorie akciových expozic se tento požadavek použije na</t>
  </si>
  <si>
    <t>akciové expozice obchodované na regulovaných trzích</t>
  </si>
  <si>
    <t>akciové expozice neobchodované na regulovaných trzích v dostatečně diverzifikovaných portfoliích a jiné expozice</t>
  </si>
  <si>
    <t>expozice, které v oblasti kapitálových požadavků podléhají přechodným pravidlům dohledu</t>
  </si>
  <si>
    <t>expozice, které v oblasti kapitálových požadavků podléhají ustanovením o zachování právních účinků</t>
  </si>
  <si>
    <t>každý z přístupů uvedených v článku 155 nařízení 2013/575/EU</t>
  </si>
  <si>
    <t>*</t>
  </si>
  <si>
    <t>Náklady na úroky</t>
  </si>
  <si>
    <t>Ztráta z finančních operací</t>
  </si>
  <si>
    <t>Odpisy atd.</t>
  </si>
  <si>
    <t>Daň z příjmů</t>
  </si>
  <si>
    <t>nejsou</t>
  </si>
  <si>
    <t>Poplatky garanční fond</t>
  </si>
  <si>
    <t>Poplatky a provize makléřům</t>
  </si>
  <si>
    <t>Strana 2</t>
  </si>
  <si>
    <t>Strana 3</t>
  </si>
  <si>
    <t>BU Dohadné účty pasivní - CZK</t>
  </si>
  <si>
    <t>Výsledovka analyticky</t>
  </si>
  <si>
    <t>Náklady</t>
  </si>
  <si>
    <t>Dne: 26.01.2019</t>
  </si>
  <si>
    <t>BU Náklady příštích období - účet 6364x</t>
  </si>
  <si>
    <t>BU Nerozdělená ztáta minulých let</t>
  </si>
  <si>
    <t>BU Interní audit</t>
  </si>
  <si>
    <t>účet</t>
  </si>
  <si>
    <t>Celkový kapitálový poměr SREP (TSCR)</t>
  </si>
  <si>
    <t>TSCR - tvořený CET1 kapitálem</t>
  </si>
  <si>
    <t>TSCR - tvořený T1 kapitálem</t>
  </si>
  <si>
    <t>Souhrnný kapitálový poměr (OCR - Overall capital requirement)</t>
  </si>
  <si>
    <t>OCR - tvořený CET1 kapitálem</t>
  </si>
  <si>
    <t>OCR - tvořený T1 kapitálem</t>
  </si>
  <si>
    <t>Souhrnný kapitálový poměr (OCR) a doporučená rezerva kapitálového plánování (P2G)</t>
  </si>
  <si>
    <t>OCR a P2G - tvořený CET1 kapitálem</t>
  </si>
  <si>
    <t>OCR a P2G - tvořený T1 kapitálem</t>
  </si>
  <si>
    <t>342005</t>
  </si>
  <si>
    <t>342006</t>
  </si>
  <si>
    <t>342100</t>
  </si>
  <si>
    <t>342200</t>
  </si>
  <si>
    <t>342300</t>
  </si>
  <si>
    <t>342500</t>
  </si>
  <si>
    <t>342600</t>
  </si>
  <si>
    <t>343000</t>
  </si>
  <si>
    <t>343001</t>
  </si>
  <si>
    <t>343002</t>
  </si>
  <si>
    <t>343004</t>
  </si>
  <si>
    <t>343010</t>
  </si>
  <si>
    <t>343019</t>
  </si>
  <si>
    <t>343020</t>
  </si>
  <si>
    <t>343100</t>
  </si>
  <si>
    <t>346001</t>
  </si>
  <si>
    <t>346011</t>
  </si>
  <si>
    <t>346012</t>
  </si>
  <si>
    <t>346015</t>
  </si>
  <si>
    <t>347000</t>
  </si>
  <si>
    <t>347010</t>
  </si>
  <si>
    <t>347020</t>
  </si>
  <si>
    <t>347100</t>
  </si>
  <si>
    <t>347111</t>
  </si>
  <si>
    <t>348000</t>
  </si>
  <si>
    <t>351002</t>
  </si>
  <si>
    <t>351003</t>
  </si>
  <si>
    <t>351004</t>
  </si>
  <si>
    <t>351100</t>
  </si>
  <si>
    <t>351103</t>
  </si>
  <si>
    <t>354100</t>
  </si>
  <si>
    <t>355100</t>
  </si>
  <si>
    <t>355400</t>
  </si>
  <si>
    <t>346000</t>
  </si>
  <si>
    <t>BU Zúčtování s institucemi sociál. zabezpečení a ZP</t>
  </si>
  <si>
    <t>AKTIVA</t>
  </si>
  <si>
    <t>PASIVA</t>
  </si>
  <si>
    <t>VZZ</t>
  </si>
  <si>
    <t>563110</t>
  </si>
  <si>
    <t>563111</t>
  </si>
  <si>
    <t>563200</t>
  </si>
  <si>
    <t>563211</t>
  </si>
  <si>
    <t>563221</t>
  </si>
  <si>
    <t>563601</t>
  </si>
  <si>
    <t>563602</t>
  </si>
  <si>
    <t>563605</t>
  </si>
  <si>
    <t>563606</t>
  </si>
  <si>
    <t>563607</t>
  </si>
  <si>
    <t>563610</t>
  </si>
  <si>
    <t>563613</t>
  </si>
  <si>
    <t>563614</t>
  </si>
  <si>
    <t>563616</t>
  </si>
  <si>
    <t>563617</t>
  </si>
  <si>
    <t>563618</t>
  </si>
  <si>
    <t>BU Cestovné - nedaňový náklad</t>
  </si>
  <si>
    <t>563620</t>
  </si>
  <si>
    <t>563621</t>
  </si>
  <si>
    <t>563630</t>
  </si>
  <si>
    <t>563633</t>
  </si>
  <si>
    <t>563634</t>
  </si>
  <si>
    <t>563635</t>
  </si>
  <si>
    <t>563636</t>
  </si>
  <si>
    <t>563637</t>
  </si>
  <si>
    <t>563638</t>
  </si>
  <si>
    <t>563639</t>
  </si>
  <si>
    <t>563640</t>
  </si>
  <si>
    <t>563643</t>
  </si>
  <si>
    <t>563644</t>
  </si>
  <si>
    <t>563645</t>
  </si>
  <si>
    <t>563647</t>
  </si>
  <si>
    <t>563650</t>
  </si>
  <si>
    <t>563651</t>
  </si>
  <si>
    <t>563652</t>
  </si>
  <si>
    <t>563654</t>
  </si>
  <si>
    <t>563655</t>
  </si>
  <si>
    <t>563656</t>
  </si>
  <si>
    <t>563658</t>
  </si>
  <si>
    <t>563661</t>
  </si>
  <si>
    <t>563662</t>
  </si>
  <si>
    <t>563663</t>
  </si>
  <si>
    <t>563720</t>
  </si>
  <si>
    <t>563830</t>
  </si>
  <si>
    <t>568100</t>
  </si>
  <si>
    <t>Kursové zisky - realizované</t>
  </si>
  <si>
    <t>671610</t>
  </si>
  <si>
    <t>676711</t>
  </si>
  <si>
    <t>676719</t>
  </si>
  <si>
    <t>676720</t>
  </si>
  <si>
    <t>676721</t>
  </si>
  <si>
    <t>BU Ostatní provozní výnosy - daňové</t>
  </si>
  <si>
    <t>676790</t>
  </si>
  <si>
    <t>Ostatní služby</t>
  </si>
  <si>
    <t>51x</t>
  </si>
  <si>
    <t>Služby</t>
  </si>
  <si>
    <t>BU Kursové ztráty</t>
  </si>
  <si>
    <t>BU Kursové ztráty - nerealizované</t>
  </si>
  <si>
    <t>BU Tržby z prodeje služeb (provize)</t>
  </si>
  <si>
    <t>571640</t>
  </si>
  <si>
    <t>663100</t>
  </si>
  <si>
    <t>66x</t>
  </si>
  <si>
    <t>BU Pořizení dlouhodobého nehmotného majetku</t>
  </si>
  <si>
    <t>347030</t>
  </si>
  <si>
    <t>BU Ostatní daně a poplatky</t>
  </si>
  <si>
    <t>355300</t>
  </si>
  <si>
    <t>BU Úroky</t>
  </si>
  <si>
    <t>BU Daň silniční</t>
  </si>
  <si>
    <t>563608</t>
  </si>
  <si>
    <t>BU Náklady na propagaci</t>
  </si>
  <si>
    <t>563615</t>
  </si>
  <si>
    <t>BU Náklady na ubytování - zahr.</t>
  </si>
  <si>
    <t>563632</t>
  </si>
  <si>
    <t>BU Dlouhodobý NM - technické zhodnocení</t>
  </si>
  <si>
    <t>BU Poskytnuté dary</t>
  </si>
  <si>
    <t>676714</t>
  </si>
  <si>
    <t>musí se vyplňovat</t>
  </si>
  <si>
    <t>563612</t>
  </si>
  <si>
    <t>BU Náklady na ubytování CZK</t>
  </si>
  <si>
    <t>BU Pronájem prostor</t>
  </si>
  <si>
    <t>BU Bloomberg, S&amp;P, Lucror</t>
  </si>
  <si>
    <t>563657</t>
  </si>
  <si>
    <t>BU Konzultace T. Matějovský</t>
  </si>
  <si>
    <t>BU Ostatní pokuty a penále</t>
  </si>
  <si>
    <t>BU Ostatní služby - nedaň.</t>
  </si>
  <si>
    <t>BU Drobný DNM</t>
  </si>
  <si>
    <t>BU Smluvní pokuty a úroky z prodlení</t>
  </si>
  <si>
    <t>676710</t>
  </si>
  <si>
    <t>BU Tržby z prodeje služeb (administrativní poplatky)</t>
  </si>
  <si>
    <t>111000</t>
  </si>
  <si>
    <t>111100</t>
  </si>
  <si>
    <t>119100</t>
  </si>
  <si>
    <t>131001</t>
  </si>
  <si>
    <t>BU Bankovní účet CZK - ČS</t>
  </si>
  <si>
    <t>131002</t>
  </si>
  <si>
    <t>131003</t>
  </si>
  <si>
    <t>131100</t>
  </si>
  <si>
    <t>BU Bankovní účet - mzdy</t>
  </si>
  <si>
    <t>131101</t>
  </si>
  <si>
    <t>131103</t>
  </si>
  <si>
    <t>131201</t>
  </si>
  <si>
    <t>131203</t>
  </si>
  <si>
    <t>131301</t>
  </si>
  <si>
    <t>131303</t>
  </si>
  <si>
    <t>181000</t>
  </si>
  <si>
    <t>181003</t>
  </si>
  <si>
    <t>211100</t>
  </si>
  <si>
    <t>211200</t>
  </si>
  <si>
    <t>221101</t>
  </si>
  <si>
    <t>221103</t>
  </si>
  <si>
    <t>221201</t>
  </si>
  <si>
    <t>221203</t>
  </si>
  <si>
    <t>221301</t>
  </si>
  <si>
    <t>221303</t>
  </si>
  <si>
    <t>261000</t>
  </si>
  <si>
    <t>261001</t>
  </si>
  <si>
    <t>261002</t>
  </si>
  <si>
    <t>261003</t>
  </si>
  <si>
    <t>311100</t>
  </si>
  <si>
    <t>311200</t>
  </si>
  <si>
    <t>311300</t>
  </si>
  <si>
    <t>314100</t>
  </si>
  <si>
    <t>314200</t>
  </si>
  <si>
    <t>316200</t>
  </si>
  <si>
    <t>341100</t>
  </si>
  <si>
    <t>341200</t>
  </si>
  <si>
    <t>341400</t>
  </si>
  <si>
    <t>344100</t>
  </si>
  <si>
    <t>352200</t>
  </si>
  <si>
    <t>378005</t>
  </si>
  <si>
    <t>381004</t>
  </si>
  <si>
    <t>381100</t>
  </si>
  <si>
    <t>385100</t>
  </si>
  <si>
    <t>385200</t>
  </si>
  <si>
    <t>388200</t>
  </si>
  <si>
    <t>388400</t>
  </si>
  <si>
    <t>431001</t>
  </si>
  <si>
    <t>431100</t>
  </si>
  <si>
    <t>432000</t>
  </si>
  <si>
    <t>438100</t>
  </si>
  <si>
    <t>438200</t>
  </si>
  <si>
    <t>445000</t>
  </si>
  <si>
    <t>474200</t>
  </si>
  <si>
    <t>478100</t>
  </si>
  <si>
    <t>321100</t>
  </si>
  <si>
    <t>321200</t>
  </si>
  <si>
    <t>321300</t>
  </si>
  <si>
    <t>321400</t>
  </si>
  <si>
    <t>324200</t>
  </si>
  <si>
    <t>324300</t>
  </si>
  <si>
    <t>325000</t>
  </si>
  <si>
    <t>333001</t>
  </si>
  <si>
    <t>333002</t>
  </si>
  <si>
    <t>333003</t>
  </si>
  <si>
    <t>333004</t>
  </si>
  <si>
    <t>333005</t>
  </si>
  <si>
    <t>333007</t>
  </si>
  <si>
    <t>379005</t>
  </si>
  <si>
    <t>383100</t>
  </si>
  <si>
    <t>383200</t>
  </si>
  <si>
    <t>383400</t>
  </si>
  <si>
    <t>389300</t>
  </si>
  <si>
    <t>431000</t>
  </si>
  <si>
    <t>456111</t>
  </si>
  <si>
    <t>456112</t>
  </si>
  <si>
    <t>456114</t>
  </si>
  <si>
    <t>456115</t>
  </si>
  <si>
    <t>457100</t>
  </si>
  <si>
    <t>457200</t>
  </si>
  <si>
    <t>BU Jiné pohledávky</t>
  </si>
  <si>
    <t>454300</t>
  </si>
  <si>
    <t>BU - Rezervy</t>
  </si>
  <si>
    <t>565300</t>
  </si>
  <si>
    <t>BU - Tvorba rezerv</t>
  </si>
  <si>
    <t>Kontrola - musí být nula!</t>
  </si>
  <si>
    <t>BU Ostatní provozní náklady - zaokrouhlení, vypořádání koeficientu dph</t>
  </si>
  <si>
    <t>BU Odpis pohledávky</t>
  </si>
  <si>
    <t>dary, příspěvek GF 2020!!!</t>
  </si>
  <si>
    <t>Aktiva 1Q</t>
  </si>
  <si>
    <t>Aktiva 2Q</t>
  </si>
  <si>
    <t>Aktiva 3Q</t>
  </si>
  <si>
    <t>Aktiva 4Q</t>
  </si>
  <si>
    <t>NUTNO VLOZIT AKTUÁLNÍ ČTVRTLETÍ JAKO HODNOTU A UPRAVIT VZOREC</t>
  </si>
  <si>
    <t>Počáteční
stav</t>
  </si>
  <si>
    <t>Obraty za
období MD</t>
  </si>
  <si>
    <t>Obraty za
období D</t>
  </si>
  <si>
    <t>Obraty
rozdíl</t>
  </si>
  <si>
    <t>Koncový
stav</t>
  </si>
  <si>
    <t>566710</t>
  </si>
  <si>
    <t>676600</t>
  </si>
  <si>
    <t>BU Tržby z prodeje DHM A DNM</t>
  </si>
  <si>
    <t>137000</t>
  </si>
  <si>
    <t>566720</t>
  </si>
  <si>
    <t>BU Garanční fond obchodníků s cennými papíry</t>
  </si>
  <si>
    <t>BU Daň z příjmů - odložená</t>
  </si>
  <si>
    <t>571650</t>
  </si>
  <si>
    <t>671621</t>
  </si>
  <si>
    <t>BU Kursové zisky - nerealizované</t>
  </si>
  <si>
    <t>Výkaz zisku a ztráty pro banky a jiné finanční instituce ke dni 31.12.2020 (v tisících Kč):</t>
  </si>
  <si>
    <t>Odměny 2020</t>
  </si>
  <si>
    <t>Základní kapitál</t>
  </si>
  <si>
    <t>Kumulované zisky (ztráty)</t>
  </si>
  <si>
    <t>Hospodářský výsledek</t>
  </si>
  <si>
    <t>Celkem</t>
  </si>
  <si>
    <t>Rozdělení hospodářského výsledku</t>
  </si>
  <si>
    <t>Výsledek hospodaření běž. úč. období</t>
  </si>
  <si>
    <t>K 31.12.2019</t>
  </si>
  <si>
    <t>K 31.12.2020</t>
  </si>
  <si>
    <t>Rok: 2021</t>
  </si>
  <si>
    <t>561100</t>
  </si>
  <si>
    <t>563649</t>
  </si>
  <si>
    <t>BU PC- update programů</t>
  </si>
  <si>
    <t>591000</t>
  </si>
  <si>
    <t>Daň z příjmů - splatná</t>
  </si>
  <si>
    <t>59x</t>
  </si>
  <si>
    <t>Daně z příjmů, převodové účty a rezerva na daň z příjmů</t>
  </si>
  <si>
    <t>zisk 2020</t>
  </si>
  <si>
    <t>zahrnout zisk 2020 až 2Q</t>
  </si>
  <si>
    <t>opravit 2020</t>
  </si>
  <si>
    <t>341600</t>
  </si>
  <si>
    <t>BU Jiné pohledávky ostatní</t>
  </si>
  <si>
    <t>563500</t>
  </si>
  <si>
    <t>563660</t>
  </si>
  <si>
    <t>Dne: 20.10.2021</t>
  </si>
  <si>
    <t>181002</t>
  </si>
  <si>
    <t>Tisk vybraných záznamů: Datum &gt;= 01.07.2021, Datum &lt;= 30.09.2021</t>
  </si>
  <si>
    <t>563631</t>
  </si>
  <si>
    <t>BU Tržby z prodeje služeb (investiční služby)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</si>
</sst>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,##0"/>
    <numFmt numFmtId="175" formatCode="###,##0.0"/>
    <numFmt numFmtId="176" formatCode="###,##0.00"/>
    <numFmt numFmtId="177" formatCode="###,##0.000"/>
    <numFmt numFmtId="178" formatCode="###,##0.0000"/>
    <numFmt numFmtId="179" formatCode="###,##0.00000"/>
    <numFmt numFmtId="180" formatCode="###,##0.000000"/>
    <numFmt numFmtId="181" formatCode="###,##0.000000000000000"/>
    <numFmt numFmtId="182" formatCode="yyyy\-mm\-dd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0.000"/>
    <numFmt numFmtId="189" formatCode="#"/>
    <numFmt numFmtId="190" formatCode="#,##0.0"/>
    <numFmt numFmtId="191" formatCode="0.0"/>
  </numFmts>
  <fonts count="87">
    <font>
      <sz val="10"/>
      <name val="Arial"/>
      <family val="0"/>
    </font>
    <font>
      <b/>
      <sz val="1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7.5"/>
      <color indexed="8"/>
      <name val="Serif"/>
      <family val="0"/>
    </font>
    <font>
      <b/>
      <sz val="7.5"/>
      <color indexed="8"/>
      <name val="Serif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name val="Century Gothic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b/>
      <sz val="10"/>
      <color indexed="9"/>
      <name val="Verdana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20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14"/>
      <color rgb="FF00008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7.5"/>
      <color rgb="FF000000"/>
      <name val="Arial"/>
      <family val="2"/>
    </font>
    <font>
      <b/>
      <sz val="10"/>
      <color rgb="FFFFFFFF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20"/>
      <color rgb="FFFF0000"/>
      <name val="Arial"/>
      <family val="2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51" fillId="0" borderId="0">
      <alignment/>
      <protection/>
    </xf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1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177" fontId="0" fillId="34" borderId="10" xfId="0" applyNumberFormat="1" applyFill="1" applyBorder="1" applyAlignment="1">
      <alignment/>
    </xf>
    <xf numFmtId="0" fontId="2" fillId="0" borderId="0" xfId="0" applyFont="1" applyAlignment="1">
      <alignment horizontal="right" vertical="top"/>
    </xf>
    <xf numFmtId="0" fontId="71" fillId="0" borderId="0" xfId="0" applyFont="1" applyAlignment="1">
      <alignment wrapText="1"/>
    </xf>
    <xf numFmtId="0" fontId="71" fillId="0" borderId="0" xfId="0" applyFont="1" applyAlignment="1">
      <alignment/>
    </xf>
    <xf numFmtId="0" fontId="72" fillId="0" borderId="0" xfId="0" applyFont="1" applyAlignment="1">
      <alignment horizontal="left" vertical="top"/>
    </xf>
    <xf numFmtId="0" fontId="73" fillId="0" borderId="11" xfId="0" applyFont="1" applyBorder="1" applyAlignment="1">
      <alignment horizontal="left" vertical="top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left" vertical="top"/>
    </xf>
    <xf numFmtId="0" fontId="71" fillId="0" borderId="12" xfId="0" applyFont="1" applyBorder="1" applyAlignment="1">
      <alignment/>
    </xf>
    <xf numFmtId="0" fontId="73" fillId="0" borderId="0" xfId="0" applyFont="1" applyAlignment="1">
      <alignment horizontal="left" vertical="top"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4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0" fontId="71" fillId="0" borderId="15" xfId="0" applyFont="1" applyBorder="1" applyAlignment="1">
      <alignment/>
    </xf>
    <xf numFmtId="0" fontId="71" fillId="0" borderId="14" xfId="0" applyFont="1" applyBorder="1" applyAlignment="1">
      <alignment horizontal="left" vertical="top"/>
    </xf>
    <xf numFmtId="0" fontId="71" fillId="0" borderId="16" xfId="0" applyFont="1" applyBorder="1" applyAlignment="1">
      <alignment/>
    </xf>
    <xf numFmtId="0" fontId="73" fillId="0" borderId="16" xfId="0" applyFont="1" applyBorder="1" applyAlignment="1">
      <alignment horizontal="left" vertical="top"/>
    </xf>
    <xf numFmtId="4" fontId="73" fillId="0" borderId="0" xfId="0" applyNumberFormat="1" applyFont="1" applyAlignment="1">
      <alignment horizontal="right" vertical="top"/>
    </xf>
    <xf numFmtId="0" fontId="73" fillId="0" borderId="13" xfId="0" applyFont="1" applyBorder="1" applyAlignment="1">
      <alignment horizontal="left" vertical="top"/>
    </xf>
    <xf numFmtId="4" fontId="0" fillId="0" borderId="0" xfId="0" applyNumberFormat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177" fontId="0" fillId="34" borderId="0" xfId="0" applyNumberFormat="1" applyFill="1" applyAlignment="1">
      <alignment/>
    </xf>
    <xf numFmtId="177" fontId="0" fillId="35" borderId="0" xfId="0" applyNumberForma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88" fontId="0" fillId="34" borderId="10" xfId="0" applyNumberFormat="1" applyFill="1" applyBorder="1" applyAlignment="1">
      <alignment/>
    </xf>
    <xf numFmtId="188" fontId="0" fillId="35" borderId="10" xfId="0" applyNumberFormat="1" applyFill="1" applyBorder="1" applyAlignment="1">
      <alignment/>
    </xf>
    <xf numFmtId="188" fontId="0" fillId="0" borderId="0" xfId="0" applyNumberFormat="1" applyAlignment="1">
      <alignment/>
    </xf>
    <xf numFmtId="188" fontId="0" fillId="35" borderId="10" xfId="0" applyNumberFormat="1" applyFont="1" applyFill="1" applyBorder="1" applyAlignment="1">
      <alignment/>
    </xf>
    <xf numFmtId="188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ill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18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9" fontId="5" fillId="0" borderId="2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189" fontId="5" fillId="0" borderId="24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189" fontId="5" fillId="0" borderId="2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37" borderId="0" xfId="0" applyFill="1" applyAlignment="1">
      <alignment vertical="center" wrapText="1"/>
    </xf>
    <xf numFmtId="0" fontId="0" fillId="38" borderId="0" xfId="0" applyFill="1" applyAlignment="1">
      <alignment vertical="center"/>
    </xf>
    <xf numFmtId="0" fontId="75" fillId="38" borderId="0" xfId="0" applyFont="1" applyFill="1" applyAlignment="1">
      <alignment horizontal="left" vertical="top" wrapText="1"/>
    </xf>
    <xf numFmtId="0" fontId="75" fillId="39" borderId="0" xfId="0" applyFont="1" applyFill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188" fontId="0" fillId="40" borderId="0" xfId="0" applyNumberFormat="1" applyFill="1" applyAlignment="1">
      <alignment/>
    </xf>
    <xf numFmtId="0" fontId="78" fillId="0" borderId="0" xfId="0" applyFont="1" applyAlignment="1">
      <alignment horizontal="left" vertical="top"/>
    </xf>
    <xf numFmtId="188" fontId="5" fillId="0" borderId="25" xfId="0" applyNumberFormat="1" applyFont="1" applyBorder="1" applyAlignment="1">
      <alignment horizontal="center" vertical="center" wrapText="1"/>
    </xf>
    <xf numFmtId="188" fontId="5" fillId="35" borderId="25" xfId="0" applyNumberFormat="1" applyFont="1" applyFill="1" applyBorder="1" applyAlignment="1">
      <alignment horizontal="center" vertical="center" wrapText="1"/>
    </xf>
    <xf numFmtId="188" fontId="5" fillId="36" borderId="25" xfId="0" applyNumberFormat="1" applyFont="1" applyFill="1" applyBorder="1" applyAlignment="1">
      <alignment horizontal="center" vertical="center" wrapText="1"/>
    </xf>
    <xf numFmtId="188" fontId="5" fillId="0" borderId="22" xfId="0" applyNumberFormat="1" applyFont="1" applyBorder="1" applyAlignment="1">
      <alignment horizontal="center" vertical="center" wrapText="1"/>
    </xf>
    <xf numFmtId="188" fontId="5" fillId="36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3" fontId="0" fillId="5" borderId="26" xfId="0" applyNumberFormat="1" applyFill="1" applyBorder="1" applyAlignment="1">
      <alignment/>
    </xf>
    <xf numFmtId="0" fontId="10" fillId="0" borderId="27" xfId="0" applyFont="1" applyBorder="1" applyAlignment="1">
      <alignment horizontal="left" vertical="center" wrapText="1"/>
    </xf>
    <xf numFmtId="10" fontId="10" fillId="0" borderId="27" xfId="0" applyNumberFormat="1" applyFont="1" applyBorder="1" applyAlignment="1">
      <alignment horizontal="right" vertical="center" wrapText="1"/>
    </xf>
    <xf numFmtId="0" fontId="10" fillId="0" borderId="26" xfId="0" applyFont="1" applyBorder="1" applyAlignment="1">
      <alignment horizontal="left" vertical="center" wrapText="1"/>
    </xf>
    <xf numFmtId="10" fontId="10" fillId="0" borderId="26" xfId="0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9" fontId="79" fillId="41" borderId="29" xfId="0" applyNumberFormat="1" applyFont="1" applyFill="1" applyBorder="1" applyAlignment="1">
      <alignment horizontal="left"/>
    </xf>
    <xf numFmtId="49" fontId="79" fillId="41" borderId="30" xfId="0" applyNumberFormat="1" applyFont="1" applyFill="1" applyBorder="1" applyAlignment="1">
      <alignment horizontal="left"/>
    </xf>
    <xf numFmtId="0" fontId="80" fillId="41" borderId="30" xfId="0" applyFont="1" applyFill="1" applyBorder="1" applyAlignment="1">
      <alignment/>
    </xf>
    <xf numFmtId="0" fontId="80" fillId="41" borderId="31" xfId="0" applyFont="1" applyFill="1" applyBorder="1" applyAlignment="1">
      <alignment/>
    </xf>
    <xf numFmtId="49" fontId="79" fillId="41" borderId="32" xfId="0" applyNumberFormat="1" applyFont="1" applyFill="1" applyBorder="1" applyAlignment="1">
      <alignment horizontal="left"/>
    </xf>
    <xf numFmtId="49" fontId="79" fillId="41" borderId="0" xfId="0" applyNumberFormat="1" applyFont="1" applyFill="1" applyAlignment="1">
      <alignment horizontal="left"/>
    </xf>
    <xf numFmtId="0" fontId="80" fillId="41" borderId="0" xfId="0" applyFont="1" applyFill="1" applyAlignment="1">
      <alignment/>
    </xf>
    <xf numFmtId="0" fontId="80" fillId="41" borderId="33" xfId="0" applyFont="1" applyFill="1" applyBorder="1" applyAlignment="1">
      <alignment/>
    </xf>
    <xf numFmtId="0" fontId="0" fillId="6" borderId="34" xfId="0" applyFont="1" applyFill="1" applyBorder="1" applyAlignment="1">
      <alignment vertical="center" wrapText="1"/>
    </xf>
    <xf numFmtId="0" fontId="0" fillId="6" borderId="35" xfId="0" applyFont="1" applyFill="1" applyBorder="1" applyAlignment="1">
      <alignment vertical="center" wrapText="1"/>
    </xf>
    <xf numFmtId="14" fontId="0" fillId="6" borderId="36" xfId="0" applyNumberFormat="1" applyFont="1" applyFill="1" applyBorder="1" applyAlignment="1">
      <alignment horizontal="center" vertical="center" wrapText="1"/>
    </xf>
    <xf numFmtId="0" fontId="79" fillId="6" borderId="3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80" fillId="0" borderId="0" xfId="0" applyFont="1" applyAlignment="1">
      <alignment vertical="center" wrapText="1"/>
    </xf>
    <xf numFmtId="0" fontId="14" fillId="0" borderId="0" xfId="0" applyFont="1" applyAlignment="1">
      <alignment/>
    </xf>
    <xf numFmtId="188" fontId="0" fillId="0" borderId="26" xfId="0" applyNumberFormat="1" applyFont="1" applyBorder="1" applyAlignment="1">
      <alignment horizontal="center" vertical="center" wrapText="1"/>
    </xf>
    <xf numFmtId="188" fontId="0" fillId="0" borderId="38" xfId="0" applyNumberFormat="1" applyFont="1" applyBorder="1" applyAlignment="1">
      <alignment horizontal="center" vertical="center" wrapText="1"/>
    </xf>
    <xf numFmtId="188" fontId="0" fillId="0" borderId="27" xfId="0" applyNumberFormat="1" applyFont="1" applyBorder="1" applyAlignment="1">
      <alignment horizontal="center" vertical="center" wrapText="1"/>
    </xf>
    <xf numFmtId="188" fontId="0" fillId="0" borderId="27" xfId="0" applyNumberFormat="1" applyFont="1" applyBorder="1" applyAlignment="1">
      <alignment vertical="center" wrapText="1"/>
    </xf>
    <xf numFmtId="188" fontId="14" fillId="0" borderId="26" xfId="0" applyNumberFormat="1" applyFont="1" applyBorder="1" applyAlignment="1">
      <alignment/>
    </xf>
    <xf numFmtId="188" fontId="0" fillId="0" borderId="28" xfId="0" applyNumberFormat="1" applyFont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 vertical="top"/>
    </xf>
    <xf numFmtId="0" fontId="71" fillId="0" borderId="0" xfId="48" applyFont="1">
      <alignment/>
      <protection/>
    </xf>
    <xf numFmtId="0" fontId="74" fillId="35" borderId="0" xfId="0" applyFont="1" applyFill="1" applyAlignment="1">
      <alignment horizontal="left" vertical="top"/>
    </xf>
    <xf numFmtId="0" fontId="71" fillId="0" borderId="0" xfId="48" applyFont="1" applyAlignment="1">
      <alignment horizontal="left" vertical="top"/>
      <protection/>
    </xf>
    <xf numFmtId="0" fontId="71" fillId="0" borderId="0" xfId="48" applyFont="1">
      <alignment/>
      <protection/>
    </xf>
    <xf numFmtId="0" fontId="71" fillId="0" borderId="0" xfId="48" applyFont="1" applyAlignment="1">
      <alignment horizontal="left" vertical="top"/>
      <protection/>
    </xf>
    <xf numFmtId="0" fontId="71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0" fontId="71" fillId="0" borderId="14" xfId="0" applyFont="1" applyBorder="1" applyAlignment="1">
      <alignment horizontal="left" vertical="top"/>
    </xf>
    <xf numFmtId="4" fontId="0" fillId="40" borderId="0" xfId="0" applyNumberFormat="1" applyFill="1" applyAlignment="1">
      <alignment/>
    </xf>
    <xf numFmtId="4" fontId="5" fillId="0" borderId="0" xfId="0" applyNumberFormat="1" applyFont="1" applyAlignment="1">
      <alignment horizontal="center" vertical="center" wrapText="1"/>
    </xf>
    <xf numFmtId="188" fontId="0" fillId="35" borderId="10" xfId="0" applyNumberFormat="1" applyFont="1" applyFill="1" applyBorder="1" applyAlignment="1">
      <alignment/>
    </xf>
    <xf numFmtId="0" fontId="73" fillId="0" borderId="0" xfId="0" applyFont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4" fontId="73" fillId="0" borderId="15" xfId="0" applyNumberFormat="1" applyFont="1" applyBorder="1" applyAlignment="1">
      <alignment horizontal="right" vertical="top"/>
    </xf>
    <xf numFmtId="4" fontId="71" fillId="0" borderId="14" xfId="0" applyNumberFormat="1" applyFont="1" applyBorder="1" applyAlignment="1">
      <alignment horizontal="right" vertical="top"/>
    </xf>
    <xf numFmtId="4" fontId="73" fillId="0" borderId="16" xfId="0" applyNumberFormat="1" applyFont="1" applyBorder="1" applyAlignment="1">
      <alignment horizontal="right" vertical="top"/>
    </xf>
    <xf numFmtId="0" fontId="71" fillId="0" borderId="11" xfId="0" applyFont="1" applyBorder="1" applyAlignment="1">
      <alignment horizontal="left" vertical="top"/>
    </xf>
    <xf numFmtId="0" fontId="71" fillId="0" borderId="12" xfId="0" applyFont="1" applyBorder="1" applyAlignment="1">
      <alignment horizontal="left" vertical="top"/>
    </xf>
    <xf numFmtId="0" fontId="71" fillId="0" borderId="13" xfId="0" applyFont="1" applyBorder="1" applyAlignment="1">
      <alignment horizontal="left" vertical="top"/>
    </xf>
    <xf numFmtId="188" fontId="6" fillId="2" borderId="0" xfId="0" applyNumberFormat="1" applyFont="1" applyFill="1" applyAlignment="1">
      <alignment horizontal="right" vertical="center"/>
    </xf>
    <xf numFmtId="0" fontId="71" fillId="2" borderId="0" xfId="0" applyFont="1" applyFill="1" applyAlignment="1">
      <alignment horizontal="left" vertical="top"/>
    </xf>
    <xf numFmtId="0" fontId="71" fillId="2" borderId="0" xfId="0" applyFont="1" applyFill="1" applyAlignment="1">
      <alignment horizontal="left" vertical="top"/>
    </xf>
    <xf numFmtId="188" fontId="0" fillId="34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left" vertical="center" wrapText="1"/>
    </xf>
    <xf numFmtId="49" fontId="71" fillId="0" borderId="14" xfId="0" applyNumberFormat="1" applyFont="1" applyBorder="1" applyAlignment="1">
      <alignment horizontal="left" vertical="top"/>
    </xf>
    <xf numFmtId="49" fontId="71" fillId="0" borderId="0" xfId="0" applyNumberFormat="1" applyFont="1" applyAlignment="1">
      <alignment horizontal="left" vertical="top"/>
    </xf>
    <xf numFmtId="22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4" fontId="71" fillId="0" borderId="0" xfId="0" applyNumberFormat="1" applyFont="1" applyAlignment="1">
      <alignment horizontal="right" vertical="top"/>
    </xf>
    <xf numFmtId="4" fontId="73" fillId="0" borderId="15" xfId="0" applyNumberFormat="1" applyFont="1" applyBorder="1" applyAlignment="1">
      <alignment horizontal="right" vertical="top"/>
    </xf>
    <xf numFmtId="4" fontId="73" fillId="0" borderId="16" xfId="0" applyNumberFormat="1" applyFont="1" applyBorder="1" applyAlignment="1">
      <alignment horizontal="right" vertical="top"/>
    </xf>
    <xf numFmtId="4" fontId="71" fillId="0" borderId="14" xfId="0" applyNumberFormat="1" applyFont="1" applyBorder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4" fontId="73" fillId="0" borderId="15" xfId="0" applyNumberFormat="1" applyFont="1" applyBorder="1" applyAlignment="1">
      <alignment horizontal="right" vertical="top"/>
    </xf>
    <xf numFmtId="4" fontId="73" fillId="0" borderId="13" xfId="0" applyNumberFormat="1" applyFont="1" applyBorder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4" fontId="73" fillId="0" borderId="15" xfId="0" applyNumberFormat="1" applyFont="1" applyBorder="1" applyAlignment="1">
      <alignment horizontal="right" vertical="top"/>
    </xf>
    <xf numFmtId="0" fontId="73" fillId="0" borderId="0" xfId="0" applyFont="1" applyAlignment="1">
      <alignment horizontal="right" vertical="top"/>
    </xf>
    <xf numFmtId="4" fontId="71" fillId="0" borderId="14" xfId="0" applyNumberFormat="1" applyFont="1" applyBorder="1" applyAlignment="1">
      <alignment horizontal="right" vertical="top"/>
    </xf>
    <xf numFmtId="4" fontId="73" fillId="0" borderId="13" xfId="0" applyNumberFormat="1" applyFont="1" applyBorder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0" fontId="0" fillId="0" borderId="0" xfId="0" applyBorder="1" applyAlignment="1">
      <alignment/>
    </xf>
    <xf numFmtId="4" fontId="71" fillId="0" borderId="0" xfId="0" applyNumberFormat="1" applyFont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0" fontId="5" fillId="40" borderId="0" xfId="0" applyFont="1" applyFill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1" fillId="0" borderId="0" xfId="48" applyFont="1">
      <alignment/>
      <protection/>
    </xf>
    <xf numFmtId="0" fontId="71" fillId="0" borderId="0" xfId="48" applyFont="1" applyAlignment="1">
      <alignment horizontal="left" vertical="top"/>
      <protection/>
    </xf>
    <xf numFmtId="4" fontId="73" fillId="0" borderId="15" xfId="0" applyNumberFormat="1" applyFont="1" applyBorder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4" fontId="0" fillId="0" borderId="0" xfId="0" applyNumberFormat="1" applyBorder="1" applyAlignment="1">
      <alignment/>
    </xf>
    <xf numFmtId="4" fontId="71" fillId="0" borderId="0" xfId="0" applyNumberFormat="1" applyFont="1" applyAlignment="1">
      <alignment/>
    </xf>
    <xf numFmtId="188" fontId="5" fillId="0" borderId="0" xfId="0" applyNumberFormat="1" applyFont="1" applyAlignment="1">
      <alignment horizontal="center" vertical="center" wrapText="1"/>
    </xf>
    <xf numFmtId="188" fontId="5" fillId="0" borderId="25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 horizontal="right" vertical="top"/>
    </xf>
    <xf numFmtId="0" fontId="71" fillId="35" borderId="0" xfId="0" applyFont="1" applyFill="1" applyAlignment="1">
      <alignment horizontal="left" vertical="top"/>
    </xf>
    <xf numFmtId="4" fontId="73" fillId="0" borderId="15" xfId="0" applyNumberFormat="1" applyFont="1" applyBorder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4" fontId="0" fillId="36" borderId="0" xfId="0" applyNumberFormat="1" applyFont="1" applyFill="1" applyAlignment="1">
      <alignment/>
    </xf>
    <xf numFmtId="4" fontId="73" fillId="0" borderId="0" xfId="0" applyNumberFormat="1" applyFont="1" applyFill="1" applyBorder="1" applyAlignment="1">
      <alignment horizontal="right" vertical="top"/>
    </xf>
    <xf numFmtId="0" fontId="81" fillId="0" borderId="0" xfId="0" applyFont="1" applyAlignment="1">
      <alignment/>
    </xf>
    <xf numFmtId="177" fontId="81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88" fontId="5" fillId="40" borderId="0" xfId="0" applyNumberFormat="1" applyFont="1" applyFill="1" applyAlignment="1">
      <alignment horizontal="center" vertical="center" wrapText="1"/>
    </xf>
    <xf numFmtId="4" fontId="71" fillId="0" borderId="0" xfId="0" applyNumberFormat="1" applyFont="1" applyAlignment="1">
      <alignment horizontal="right" vertical="top"/>
    </xf>
    <xf numFmtId="4" fontId="0" fillId="0" borderId="0" xfId="0" applyNumberFormat="1" applyFill="1" applyAlignment="1">
      <alignment/>
    </xf>
    <xf numFmtId="0" fontId="82" fillId="35" borderId="0" xfId="0" applyFont="1" applyFill="1" applyAlignment="1">
      <alignment horizontal="center" vertical="center" wrapText="1"/>
    </xf>
    <xf numFmtId="3" fontId="0" fillId="42" borderId="0" xfId="0" applyNumberFormat="1" applyFill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4" fontId="73" fillId="0" borderId="0" xfId="0" applyNumberFormat="1" applyFont="1" applyBorder="1" applyAlignment="1">
      <alignment horizontal="right" vertical="top"/>
    </xf>
    <xf numFmtId="0" fontId="71" fillId="0" borderId="0" xfId="0" applyFont="1" applyBorder="1" applyAlignment="1">
      <alignment horizontal="left" vertical="top"/>
    </xf>
    <xf numFmtId="4" fontId="71" fillId="0" borderId="0" xfId="0" applyNumberFormat="1" applyFont="1" applyAlignment="1">
      <alignment horizontal="right" vertical="top"/>
    </xf>
    <xf numFmtId="4" fontId="0" fillId="42" borderId="0" xfId="0" applyNumberFormat="1" applyFill="1" applyAlignment="1">
      <alignment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3" fontId="84" fillId="0" borderId="26" xfId="0" applyNumberFormat="1" applyFont="1" applyBorder="1" applyAlignment="1">
      <alignment horizontal="right" vertical="center" wrapText="1"/>
    </xf>
    <xf numFmtId="0" fontId="84" fillId="0" borderId="40" xfId="0" applyFont="1" applyBorder="1" applyAlignment="1">
      <alignment horizontal="right" vertical="center" wrapText="1"/>
    </xf>
    <xf numFmtId="3" fontId="84" fillId="0" borderId="40" xfId="0" applyNumberFormat="1" applyFont="1" applyBorder="1" applyAlignment="1">
      <alignment horizontal="right" vertical="center" wrapText="1"/>
    </xf>
    <xf numFmtId="3" fontId="85" fillId="0" borderId="28" xfId="0" applyNumberFormat="1" applyFont="1" applyBorder="1" applyAlignment="1">
      <alignment horizontal="right" vertical="center" wrapText="1"/>
    </xf>
    <xf numFmtId="3" fontId="85" fillId="0" borderId="41" xfId="0" applyNumberFormat="1" applyFont="1" applyBorder="1" applyAlignment="1">
      <alignment horizontal="right" vertical="center" wrapText="1"/>
    </xf>
    <xf numFmtId="3" fontId="85" fillId="0" borderId="39" xfId="0" applyNumberFormat="1" applyFont="1" applyBorder="1" applyAlignment="1">
      <alignment horizontal="right" vertical="center" wrapText="1"/>
    </xf>
    <xf numFmtId="3" fontId="85" fillId="0" borderId="42" xfId="0" applyNumberFormat="1" applyFont="1" applyBorder="1" applyAlignment="1">
      <alignment horizontal="right" vertical="center" wrapText="1"/>
    </xf>
    <xf numFmtId="3" fontId="85" fillId="0" borderId="43" xfId="0" applyNumberFormat="1" applyFont="1" applyBorder="1" applyAlignment="1">
      <alignment horizontal="right" vertical="center" wrapText="1"/>
    </xf>
    <xf numFmtId="0" fontId="84" fillId="0" borderId="44" xfId="0" applyFont="1" applyBorder="1" applyAlignment="1">
      <alignment horizontal="right" vertical="center" wrapText="1"/>
    </xf>
    <xf numFmtId="3" fontId="85" fillId="0" borderId="45" xfId="0" applyNumberFormat="1" applyFont="1" applyBorder="1" applyAlignment="1">
      <alignment horizontal="right" vertical="center" wrapText="1"/>
    </xf>
    <xf numFmtId="0" fontId="85" fillId="0" borderId="46" xfId="0" applyFont="1" applyBorder="1" applyAlignment="1">
      <alignment vertical="center" wrapText="1"/>
    </xf>
    <xf numFmtId="0" fontId="84" fillId="0" borderId="47" xfId="0" applyFont="1" applyBorder="1" applyAlignment="1">
      <alignment vertical="center" wrapText="1"/>
    </xf>
    <xf numFmtId="0" fontId="85" fillId="0" borderId="48" xfId="0" applyFont="1" applyBorder="1" applyAlignment="1">
      <alignment vertical="center" wrapText="1"/>
    </xf>
    <xf numFmtId="4" fontId="71" fillId="35" borderId="0" xfId="0" applyNumberFormat="1" applyFont="1" applyFill="1" applyAlignment="1">
      <alignment horizontal="right" vertical="top"/>
    </xf>
    <xf numFmtId="0" fontId="71" fillId="35" borderId="0" xfId="48" applyFont="1" applyFill="1" applyAlignment="1">
      <alignment horizontal="left" vertical="top"/>
      <protection/>
    </xf>
    <xf numFmtId="0" fontId="71" fillId="35" borderId="0" xfId="48" applyFont="1" applyFill="1">
      <alignment/>
      <protection/>
    </xf>
    <xf numFmtId="0" fontId="73" fillId="0" borderId="0" xfId="0" applyFont="1" applyBorder="1" applyAlignment="1">
      <alignment horizontal="left" vertical="top"/>
    </xf>
    <xf numFmtId="4" fontId="71" fillId="0" borderId="0" xfId="0" applyNumberFormat="1" applyFont="1" applyAlignment="1">
      <alignment horizontal="right" vertical="top"/>
    </xf>
    <xf numFmtId="4" fontId="73" fillId="0" borderId="15" xfId="0" applyNumberFormat="1" applyFont="1" applyBorder="1" applyAlignment="1">
      <alignment horizontal="right" vertical="top"/>
    </xf>
    <xf numFmtId="4" fontId="71" fillId="0" borderId="14" xfId="0" applyNumberFormat="1" applyFont="1" applyBorder="1" applyAlignment="1">
      <alignment horizontal="right" vertical="top"/>
    </xf>
    <xf numFmtId="4" fontId="73" fillId="0" borderId="16" xfId="0" applyNumberFormat="1" applyFont="1" applyBorder="1" applyAlignment="1">
      <alignment horizontal="right" vertical="top"/>
    </xf>
    <xf numFmtId="0" fontId="73" fillId="0" borderId="0" xfId="0" applyFont="1" applyAlignment="1">
      <alignment horizontal="right" vertical="top"/>
    </xf>
    <xf numFmtId="4" fontId="73" fillId="0" borderId="13" xfId="0" applyNumberFormat="1" applyFont="1" applyBorder="1" applyAlignment="1">
      <alignment horizontal="right" vertical="top"/>
    </xf>
    <xf numFmtId="0" fontId="71" fillId="0" borderId="0" xfId="48" applyFont="1">
      <alignment/>
      <protection/>
    </xf>
    <xf numFmtId="0" fontId="72" fillId="0" borderId="0" xfId="48" applyFont="1" applyAlignment="1">
      <alignment horizontal="left" vertical="top"/>
      <protection/>
    </xf>
    <xf numFmtId="0" fontId="73" fillId="0" borderId="11" xfId="48" applyFont="1" applyBorder="1" applyAlignment="1">
      <alignment horizontal="left" vertical="top"/>
      <protection/>
    </xf>
    <xf numFmtId="0" fontId="71" fillId="0" borderId="11" xfId="48" applyFont="1" applyBorder="1">
      <alignment/>
      <protection/>
    </xf>
    <xf numFmtId="0" fontId="71" fillId="0" borderId="11" xfId="48" applyFont="1" applyBorder="1" applyAlignment="1">
      <alignment horizontal="left" vertical="top"/>
      <protection/>
    </xf>
    <xf numFmtId="0" fontId="71" fillId="0" borderId="12" xfId="48" applyFont="1" applyBorder="1">
      <alignment/>
      <protection/>
    </xf>
    <xf numFmtId="0" fontId="73" fillId="0" borderId="0" xfId="48" applyFont="1" applyAlignment="1">
      <alignment horizontal="left" vertical="top"/>
      <protection/>
    </xf>
    <xf numFmtId="0" fontId="73" fillId="0" borderId="0" xfId="48" applyFont="1" applyAlignment="1">
      <alignment horizontal="right" vertical="top"/>
      <protection/>
    </xf>
    <xf numFmtId="0" fontId="71" fillId="0" borderId="13" xfId="48" applyFont="1" applyBorder="1">
      <alignment/>
      <protection/>
    </xf>
    <xf numFmtId="0" fontId="71" fillId="0" borderId="14" xfId="48" applyFont="1" applyBorder="1">
      <alignment/>
      <protection/>
    </xf>
    <xf numFmtId="0" fontId="78" fillId="0" borderId="0" xfId="48" applyFont="1" applyAlignment="1">
      <alignment horizontal="left" vertical="top"/>
      <protection/>
    </xf>
    <xf numFmtId="49" fontId="71" fillId="0" borderId="0" xfId="48" applyNumberFormat="1" applyFont="1" applyAlignment="1">
      <alignment horizontal="left" vertical="top"/>
      <protection/>
    </xf>
    <xf numFmtId="0" fontId="71" fillId="0" borderId="0" xfId="48" applyFont="1" applyAlignment="1">
      <alignment horizontal="left" vertical="top"/>
      <protection/>
    </xf>
    <xf numFmtId="4" fontId="71" fillId="0" borderId="0" xfId="48" applyNumberFormat="1" applyFont="1" applyAlignment="1">
      <alignment horizontal="right" vertical="top"/>
      <protection/>
    </xf>
    <xf numFmtId="4" fontId="73" fillId="0" borderId="15" xfId="48" applyNumberFormat="1" applyFont="1" applyBorder="1" applyAlignment="1">
      <alignment horizontal="right" vertical="top"/>
      <protection/>
    </xf>
    <xf numFmtId="4" fontId="73" fillId="0" borderId="0" xfId="48" applyNumberFormat="1" applyFont="1" applyAlignment="1">
      <alignment horizontal="right" vertical="top"/>
      <protection/>
    </xf>
    <xf numFmtId="0" fontId="73" fillId="0" borderId="13" xfId="48" applyFont="1" applyBorder="1" applyAlignment="1">
      <alignment horizontal="left" vertical="top"/>
      <protection/>
    </xf>
    <xf numFmtId="4" fontId="73" fillId="0" borderId="13" xfId="48" applyNumberFormat="1" applyFont="1" applyBorder="1" applyAlignment="1">
      <alignment horizontal="right" vertical="top"/>
      <protection/>
    </xf>
    <xf numFmtId="49" fontId="71" fillId="0" borderId="14" xfId="48" applyNumberFormat="1" applyFont="1" applyBorder="1" applyAlignment="1">
      <alignment horizontal="left" vertical="top"/>
      <protection/>
    </xf>
    <xf numFmtId="0" fontId="71" fillId="0" borderId="14" xfId="48" applyFont="1" applyBorder="1" applyAlignment="1">
      <alignment horizontal="left" vertical="top"/>
      <protection/>
    </xf>
    <xf numFmtId="4" fontId="71" fillId="0" borderId="14" xfId="48" applyNumberFormat="1" applyFont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4" fillId="0" borderId="49" xfId="0" applyFont="1" applyBorder="1" applyAlignment="1">
      <alignment vertical="center" wrapText="1"/>
    </xf>
    <xf numFmtId="0" fontId="84" fillId="0" borderId="41" xfId="0" applyFont="1" applyBorder="1" applyAlignment="1">
      <alignment vertical="center" wrapText="1"/>
    </xf>
    <xf numFmtId="0" fontId="84" fillId="0" borderId="50" xfId="0" applyFont="1" applyBorder="1" applyAlignment="1">
      <alignment vertical="center" wrapText="1"/>
    </xf>
    <xf numFmtId="0" fontId="84" fillId="0" borderId="48" xfId="0" applyFont="1" applyBorder="1" applyAlignment="1">
      <alignment vertical="center" wrapText="1"/>
    </xf>
    <xf numFmtId="0" fontId="84" fillId="0" borderId="51" xfId="0" applyFont="1" applyBorder="1" applyAlignment="1">
      <alignment vertical="center" wrapText="1"/>
    </xf>
    <xf numFmtId="0" fontId="84" fillId="0" borderId="45" xfId="0" applyFont="1" applyBorder="1" applyAlignment="1">
      <alignment vertical="center" wrapText="1"/>
    </xf>
    <xf numFmtId="0" fontId="84" fillId="0" borderId="27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86" fillId="43" borderId="0" xfId="0" applyFont="1" applyFill="1" applyAlignment="1">
      <alignment horizontal="center" vertical="center"/>
    </xf>
    <xf numFmtId="0" fontId="86" fillId="44" borderId="0" xfId="0" applyFont="1" applyFill="1" applyAlignment="1">
      <alignment horizontal="center" vertical="center"/>
    </xf>
    <xf numFmtId="188" fontId="86" fillId="45" borderId="0" xfId="0" applyNumberFormat="1" applyFont="1" applyFill="1" applyAlignment="1">
      <alignment horizontal="center" vertical="center"/>
    </xf>
    <xf numFmtId="0" fontId="86" fillId="45" borderId="0" xfId="0" applyFont="1" applyFill="1" applyAlignment="1">
      <alignment horizontal="center" vertical="center"/>
    </xf>
    <xf numFmtId="188" fontId="86" fillId="43" borderId="0" xfId="0" applyNumberFormat="1" applyFont="1" applyFill="1" applyAlignment="1">
      <alignment horizontal="center" vertical="center"/>
    </xf>
    <xf numFmtId="0" fontId="75" fillId="39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/>
    </xf>
    <xf numFmtId="0" fontId="75" fillId="46" borderId="0" xfId="0" applyFont="1" applyFill="1" applyAlignment="1">
      <alignment vertical="center"/>
    </xf>
    <xf numFmtId="0" fontId="76" fillId="37" borderId="0" xfId="0" applyFont="1" applyFill="1" applyAlignment="1">
      <alignment vertical="center" wrapText="1"/>
    </xf>
    <xf numFmtId="4" fontId="71" fillId="0" borderId="52" xfId="0" applyNumberFormat="1" applyFont="1" applyBorder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0" fontId="73" fillId="0" borderId="0" xfId="0" applyFont="1" applyAlignment="1">
      <alignment horizontal="right" vertical="top"/>
    </xf>
    <xf numFmtId="4" fontId="73" fillId="0" borderId="16" xfId="0" applyNumberFormat="1" applyFont="1" applyBorder="1" applyAlignment="1">
      <alignment horizontal="right" vertical="top"/>
    </xf>
    <xf numFmtId="4" fontId="71" fillId="0" borderId="14" xfId="0" applyNumberFormat="1" applyFont="1" applyBorder="1" applyAlignment="1">
      <alignment horizontal="right" vertical="top"/>
    </xf>
    <xf numFmtId="0" fontId="71" fillId="0" borderId="0" xfId="0" applyFont="1" applyAlignment="1">
      <alignment horizontal="right" vertical="top"/>
    </xf>
    <xf numFmtId="0" fontId="71" fillId="0" borderId="11" xfId="0" applyFont="1" applyBorder="1" applyAlignment="1">
      <alignment horizontal="right" vertical="top"/>
    </xf>
    <xf numFmtId="4" fontId="73" fillId="0" borderId="15" xfId="0" applyNumberFormat="1" applyFont="1" applyBorder="1" applyAlignment="1">
      <alignment horizontal="right" vertical="top"/>
    </xf>
    <xf numFmtId="4" fontId="71" fillId="0" borderId="53" xfId="0" applyNumberFormat="1" applyFont="1" applyBorder="1" applyAlignment="1">
      <alignment horizontal="right" vertical="top"/>
    </xf>
    <xf numFmtId="4" fontId="73" fillId="0" borderId="0" xfId="0" applyNumberFormat="1" applyFont="1" applyBorder="1" applyAlignment="1">
      <alignment horizontal="right" vertical="top"/>
    </xf>
    <xf numFmtId="4" fontId="73" fillId="0" borderId="15" xfId="48" applyNumberFormat="1" applyFont="1" applyBorder="1" applyAlignment="1">
      <alignment horizontal="right" vertical="top"/>
      <protection/>
    </xf>
    <xf numFmtId="4" fontId="71" fillId="0" borderId="0" xfId="48" applyNumberFormat="1" applyFont="1" applyAlignment="1">
      <alignment horizontal="right" vertical="top"/>
      <protection/>
    </xf>
    <xf numFmtId="4" fontId="71" fillId="0" borderId="52" xfId="48" applyNumberFormat="1" applyFont="1" applyBorder="1" applyAlignment="1">
      <alignment horizontal="right" vertical="top"/>
      <protection/>
    </xf>
    <xf numFmtId="4" fontId="73" fillId="0" borderId="13" xfId="0" applyNumberFormat="1" applyFont="1" applyBorder="1" applyAlignment="1">
      <alignment horizontal="right" vertical="top"/>
    </xf>
    <xf numFmtId="0" fontId="71" fillId="0" borderId="0" xfId="48" applyFont="1" applyAlignment="1">
      <alignment horizontal="right" vertical="top"/>
      <protection/>
    </xf>
    <xf numFmtId="0" fontId="71" fillId="0" borderId="11" xfId="48" applyFont="1" applyBorder="1" applyAlignment="1">
      <alignment horizontal="right" vertical="top"/>
      <protection/>
    </xf>
    <xf numFmtId="0" fontId="73" fillId="0" borderId="0" xfId="48" applyFont="1" applyAlignment="1">
      <alignment horizontal="right" vertical="top"/>
      <protection/>
    </xf>
    <xf numFmtId="4" fontId="73" fillId="0" borderId="13" xfId="48" applyNumberFormat="1" applyFont="1" applyBorder="1" applyAlignment="1">
      <alignment horizontal="right" vertical="top"/>
      <protection/>
    </xf>
    <xf numFmtId="4" fontId="71" fillId="0" borderId="14" xfId="48" applyNumberFormat="1" applyFont="1" applyBorder="1" applyAlignment="1">
      <alignment horizontal="right" vertical="top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47" borderId="37" xfId="0" applyFont="1" applyFill="1" applyBorder="1" applyAlignment="1">
      <alignment horizontal="center" vertical="center" wrapText="1"/>
    </xf>
    <xf numFmtId="0" fontId="0" fillId="47" borderId="5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47" borderId="49" xfId="0" applyFont="1" applyFill="1" applyBorder="1" applyAlignment="1">
      <alignment horizontal="center" vertical="center" wrapText="1"/>
    </xf>
    <xf numFmtId="0" fontId="0" fillId="47" borderId="40" xfId="0" applyFont="1" applyFill="1" applyBorder="1" applyAlignment="1">
      <alignment horizontal="center" vertical="center" wrapText="1"/>
    </xf>
    <xf numFmtId="0" fontId="0" fillId="47" borderId="41" xfId="0" applyFont="1" applyFill="1" applyBorder="1" applyAlignment="1">
      <alignment horizontal="center" vertical="center" wrapText="1"/>
    </xf>
    <xf numFmtId="0" fontId="0" fillId="47" borderId="59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/>
    </xf>
    <xf numFmtId="0" fontId="80" fillId="0" borderId="62" xfId="0" applyFont="1" applyBorder="1" applyAlignment="1">
      <alignment horizontal="center"/>
    </xf>
    <xf numFmtId="0" fontId="80" fillId="0" borderId="63" xfId="0" applyFont="1" applyBorder="1" applyAlignment="1">
      <alignment horizontal="center"/>
    </xf>
    <xf numFmtId="0" fontId="79" fillId="48" borderId="64" xfId="0" applyFont="1" applyFill="1" applyBorder="1" applyAlignment="1">
      <alignment horizontal="center" vertical="center" wrapText="1"/>
    </xf>
    <xf numFmtId="0" fontId="79" fillId="48" borderId="65" xfId="0" applyFont="1" applyFill="1" applyBorder="1" applyAlignment="1">
      <alignment horizontal="center" vertical="center" wrapText="1"/>
    </xf>
    <xf numFmtId="0" fontId="79" fillId="48" borderId="66" xfId="0" applyFont="1" applyFill="1" applyBorder="1" applyAlignment="1">
      <alignment horizontal="center" vertical="center" wrapText="1"/>
    </xf>
    <xf numFmtId="0" fontId="79" fillId="48" borderId="32" xfId="0" applyFont="1" applyFill="1" applyBorder="1" applyAlignment="1">
      <alignment horizontal="center" vertical="center" wrapText="1"/>
    </xf>
    <xf numFmtId="0" fontId="79" fillId="48" borderId="0" xfId="0" applyFont="1" applyFill="1" applyAlignment="1">
      <alignment horizontal="center" vertical="center" wrapText="1"/>
    </xf>
    <xf numFmtId="0" fontId="79" fillId="48" borderId="67" xfId="0" applyFont="1" applyFill="1" applyBorder="1" applyAlignment="1">
      <alignment horizontal="center" vertical="center" wrapText="1"/>
    </xf>
    <xf numFmtId="0" fontId="79" fillId="48" borderId="40" xfId="0" applyFont="1" applyFill="1" applyBorder="1" applyAlignment="1">
      <alignment horizontal="center" vertical="center" wrapText="1"/>
    </xf>
    <xf numFmtId="0" fontId="79" fillId="48" borderId="68" xfId="0" applyFont="1" applyFill="1" applyBorder="1" applyAlignment="1">
      <alignment horizontal="center" vertical="center" wrapText="1"/>
    </xf>
    <xf numFmtId="0" fontId="10" fillId="49" borderId="54" xfId="0" applyFont="1" applyFill="1" applyBorder="1" applyAlignment="1">
      <alignment horizontal="center" vertical="center" wrapText="1"/>
    </xf>
    <xf numFmtId="0" fontId="10" fillId="49" borderId="27" xfId="0" applyFont="1" applyFill="1" applyBorder="1" applyAlignment="1">
      <alignment horizontal="center" vertical="center" wrapText="1"/>
    </xf>
    <xf numFmtId="0" fontId="10" fillId="49" borderId="69" xfId="0" applyFont="1" applyFill="1" applyBorder="1" applyAlignment="1">
      <alignment horizontal="center" vertical="center" wrapText="1"/>
    </xf>
    <xf numFmtId="0" fontId="10" fillId="49" borderId="58" xfId="0" applyFont="1" applyFill="1" applyBorder="1" applyAlignment="1">
      <alignment horizontal="center" vertical="center" wrapText="1"/>
    </xf>
    <xf numFmtId="0" fontId="10" fillId="49" borderId="28" xfId="0" applyFont="1" applyFill="1" applyBorder="1" applyAlignment="1">
      <alignment horizontal="center" vertical="center" wrapText="1"/>
    </xf>
    <xf numFmtId="0" fontId="10" fillId="49" borderId="70" xfId="0" applyFont="1" applyFill="1" applyBorder="1" applyAlignment="1">
      <alignment horizontal="center" vertical="center" wrapText="1"/>
    </xf>
    <xf numFmtId="0" fontId="10" fillId="47" borderId="37" xfId="0" applyFont="1" applyFill="1" applyBorder="1" applyAlignment="1">
      <alignment horizontal="center" vertical="center"/>
    </xf>
    <xf numFmtId="0" fontId="10" fillId="47" borderId="5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ázev 2" xfId="46"/>
    <cellStyle name="Neutrální" xfId="47"/>
    <cellStyle name="Normální 2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08CC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6E6E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219075</xdr:colOff>
      <xdr:row>21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3648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2</xdr:row>
      <xdr:rowOff>19050</xdr:rowOff>
    </xdr:from>
    <xdr:to>
      <xdr:col>15</xdr:col>
      <xdr:colOff>323850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42900"/>
          <a:ext cx="67722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6"/>
  <sheetViews>
    <sheetView view="pageBreakPreview" zoomScaleNormal="85" zoomScaleSheetLayoutView="100" zoomScalePageLayoutView="0" workbookViewId="0" topLeftCell="A1">
      <selection activeCell="D20" sqref="D20"/>
    </sheetView>
  </sheetViews>
  <sheetFormatPr defaultColWidth="9.140625" defaultRowHeight="12.75" outlineLevelRow="1"/>
  <cols>
    <col min="2" max="2" width="53.8515625" style="0" customWidth="1"/>
    <col min="3" max="3" width="4.57421875" style="0" customWidth="1"/>
    <col min="4" max="4" width="10.57421875" style="34" customWidth="1"/>
    <col min="5" max="5" width="10.57421875" style="0" bestFit="1" customWidth="1"/>
  </cols>
  <sheetData>
    <row r="1" spans="2:5" ht="23.25">
      <c r="B1" s="239" t="s">
        <v>0</v>
      </c>
      <c r="C1" s="240"/>
      <c r="D1" s="240"/>
      <c r="E1" s="240"/>
    </row>
    <row r="2" spans="2:4" ht="12.75">
      <c r="B2" s="4" t="s">
        <v>1</v>
      </c>
      <c r="C2" s="143">
        <v>42870.72081018519</v>
      </c>
      <c r="D2"/>
    </row>
    <row r="3" spans="2:5" ht="12.75">
      <c r="B3" s="4" t="s">
        <v>2</v>
      </c>
      <c r="C3" s="240"/>
      <c r="D3" s="240"/>
      <c r="E3" s="240"/>
    </row>
    <row r="4" spans="2:5" ht="12.75">
      <c r="B4" s="4" t="s">
        <v>3</v>
      </c>
      <c r="C4" s="240"/>
      <c r="D4" s="240"/>
      <c r="E4" s="240"/>
    </row>
    <row r="5" spans="2:5" ht="15">
      <c r="B5" s="241" t="s">
        <v>4</v>
      </c>
      <c r="C5" s="240"/>
      <c r="D5" s="240"/>
      <c r="E5" s="240"/>
    </row>
    <row r="6" spans="3:4" ht="12.75">
      <c r="C6" s="1" t="s">
        <v>5</v>
      </c>
      <c r="D6" s="30"/>
    </row>
    <row r="7" spans="2:4" ht="12.75">
      <c r="B7" s="2" t="s">
        <v>6</v>
      </c>
      <c r="C7" s="1">
        <v>1</v>
      </c>
      <c r="D7" s="35">
        <f>D20+D10+D26+D41</f>
        <v>8181.537839999998</v>
      </c>
    </row>
    <row r="8" spans="2:4" ht="12.75">
      <c r="B8" s="2" t="s">
        <v>7</v>
      </c>
      <c r="C8" s="1">
        <v>2</v>
      </c>
      <c r="D8" s="35">
        <f>D7</f>
        <v>8181.537839999998</v>
      </c>
    </row>
    <row r="9" spans="2:4" ht="12.75">
      <c r="B9" s="2" t="s">
        <v>8</v>
      </c>
      <c r="C9" s="1">
        <v>3</v>
      </c>
      <c r="D9" s="35">
        <f>D8</f>
        <v>8181.537839999998</v>
      </c>
    </row>
    <row r="10" spans="2:4" ht="12.75">
      <c r="B10" s="2" t="s">
        <v>9</v>
      </c>
      <c r="C10" s="1">
        <v>4</v>
      </c>
      <c r="D10" s="33">
        <f>D11</f>
        <v>5000</v>
      </c>
    </row>
    <row r="11" spans="2:4" ht="12.75">
      <c r="B11" s="2" t="s">
        <v>10</v>
      </c>
      <c r="C11" s="1">
        <v>5</v>
      </c>
      <c r="D11" s="33">
        <f>FIS10!C87</f>
        <v>5000</v>
      </c>
    </row>
    <row r="12" spans="2:4" ht="25.5" hidden="1" outlineLevel="1">
      <c r="B12" s="2" t="s">
        <v>11</v>
      </c>
      <c r="C12" s="1">
        <v>6</v>
      </c>
      <c r="D12" s="33"/>
    </row>
    <row r="13" spans="2:4" ht="12.75" hidden="1" outlineLevel="1">
      <c r="B13" s="2" t="s">
        <v>12</v>
      </c>
      <c r="C13" s="1">
        <v>7</v>
      </c>
      <c r="D13" s="33"/>
    </row>
    <row r="14" spans="2:4" ht="12.75" hidden="1" outlineLevel="1">
      <c r="B14" s="2" t="s">
        <v>13</v>
      </c>
      <c r="C14" s="1">
        <v>8</v>
      </c>
      <c r="D14" s="33"/>
    </row>
    <row r="15" spans="2:4" ht="12.75" hidden="1" outlineLevel="1">
      <c r="B15" s="2" t="s">
        <v>14</v>
      </c>
      <c r="C15" s="1">
        <v>9</v>
      </c>
      <c r="D15" s="33"/>
    </row>
    <row r="16" spans="2:4" ht="12.75" hidden="1" outlineLevel="1">
      <c r="B16" s="2" t="s">
        <v>15</v>
      </c>
      <c r="C16" s="1">
        <v>10</v>
      </c>
      <c r="D16" s="33"/>
    </row>
    <row r="17" spans="2:4" ht="12.75" hidden="1" outlineLevel="1">
      <c r="B17" s="2" t="s">
        <v>16</v>
      </c>
      <c r="C17" s="1">
        <v>11</v>
      </c>
      <c r="D17" s="33"/>
    </row>
    <row r="18" spans="2:4" ht="12.75" hidden="1" outlineLevel="1">
      <c r="B18" s="2" t="s">
        <v>17</v>
      </c>
      <c r="C18" s="1">
        <v>12</v>
      </c>
      <c r="D18" s="33"/>
    </row>
    <row r="19" spans="2:4" ht="25.5" hidden="1" outlineLevel="1">
      <c r="B19" s="2" t="s">
        <v>18</v>
      </c>
      <c r="C19" s="1">
        <v>13</v>
      </c>
      <c r="D19" s="33"/>
    </row>
    <row r="20" spans="2:4" ht="12.75" collapsed="1">
      <c r="B20" s="2" t="s">
        <v>19</v>
      </c>
      <c r="C20" s="1">
        <v>14</v>
      </c>
      <c r="D20" s="33">
        <f>D21+D22</f>
        <v>4892.381839999999</v>
      </c>
    </row>
    <row r="21" spans="2:6" ht="12.75">
      <c r="B21" s="2" t="s">
        <v>20</v>
      </c>
      <c r="C21" s="1">
        <v>15</v>
      </c>
      <c r="D21" s="33">
        <f>FIS10!C114</f>
        <v>4892.381839999999</v>
      </c>
      <c r="E21" s="34">
        <v>689.233549999999</v>
      </c>
      <c r="F21" s="186" t="s">
        <v>1117</v>
      </c>
    </row>
    <row r="22" spans="2:5" ht="12.75">
      <c r="B22" s="2" t="s">
        <v>21</v>
      </c>
      <c r="C22" s="1">
        <v>16</v>
      </c>
      <c r="D22" s="33">
        <f>D23</f>
        <v>0</v>
      </c>
      <c r="E22" s="178" t="s">
        <v>1118</v>
      </c>
    </row>
    <row r="23" spans="2:4" ht="12.75">
      <c r="B23" s="2" t="s">
        <v>22</v>
      </c>
      <c r="C23" s="1">
        <v>17</v>
      </c>
      <c r="D23" s="33"/>
    </row>
    <row r="24" spans="2:4" ht="25.5">
      <c r="B24" s="37" t="s">
        <v>23</v>
      </c>
      <c r="C24" s="1">
        <v>18</v>
      </c>
      <c r="D24" s="33"/>
    </row>
    <row r="25" spans="2:4" ht="12.75" hidden="1" outlineLevel="1">
      <c r="B25" s="2" t="s">
        <v>24</v>
      </c>
      <c r="C25" s="1">
        <v>19</v>
      </c>
      <c r="D25" s="33"/>
    </row>
    <row r="26" spans="2:4" ht="12.75" collapsed="1">
      <c r="B26" s="2" t="s">
        <v>25</v>
      </c>
      <c r="C26" s="1">
        <v>20</v>
      </c>
      <c r="D26" s="33"/>
    </row>
    <row r="27" spans="2:4" ht="12.75" hidden="1" outlineLevel="1">
      <c r="B27" s="2" t="s">
        <v>26</v>
      </c>
      <c r="C27" s="1">
        <v>21</v>
      </c>
      <c r="D27" s="33"/>
    </row>
    <row r="28" spans="2:4" ht="12.75" hidden="1" outlineLevel="1">
      <c r="B28" s="2" t="s">
        <v>27</v>
      </c>
      <c r="C28" s="1">
        <v>22</v>
      </c>
      <c r="D28" s="33"/>
    </row>
    <row r="29" spans="2:4" ht="12.75" hidden="1" outlineLevel="1">
      <c r="B29" s="2" t="s">
        <v>28</v>
      </c>
      <c r="C29" s="1">
        <v>23</v>
      </c>
      <c r="D29" s="33"/>
    </row>
    <row r="30" spans="2:4" ht="12.75" hidden="1" outlineLevel="1">
      <c r="B30" s="2" t="s">
        <v>29</v>
      </c>
      <c r="C30" s="1">
        <v>24</v>
      </c>
      <c r="D30" s="33"/>
    </row>
    <row r="31" spans="2:4" ht="12.75" hidden="1" outlineLevel="1">
      <c r="B31" s="2" t="s">
        <v>30</v>
      </c>
      <c r="C31" s="1">
        <v>25</v>
      </c>
      <c r="D31" s="33"/>
    </row>
    <row r="32" spans="2:4" ht="12.75" hidden="1" outlineLevel="1">
      <c r="B32" s="2" t="s">
        <v>31</v>
      </c>
      <c r="C32" s="1">
        <v>26</v>
      </c>
      <c r="D32" s="33"/>
    </row>
    <row r="33" spans="2:4" ht="12.75" hidden="1" outlineLevel="1">
      <c r="B33" s="2" t="s">
        <v>32</v>
      </c>
      <c r="C33" s="1">
        <v>27</v>
      </c>
      <c r="D33" s="33"/>
    </row>
    <row r="34" spans="2:4" ht="25.5" hidden="1" outlineLevel="1">
      <c r="B34" s="2" t="s">
        <v>33</v>
      </c>
      <c r="C34" s="1">
        <v>28</v>
      </c>
      <c r="D34" s="33"/>
    </row>
    <row r="35" spans="2:4" ht="25.5" hidden="1" outlineLevel="1">
      <c r="B35" s="2" t="s">
        <v>34</v>
      </c>
      <c r="C35" s="1">
        <v>29</v>
      </c>
      <c r="D35" s="33"/>
    </row>
    <row r="36" spans="2:4" ht="12.75" hidden="1" outlineLevel="1">
      <c r="B36" s="2" t="s">
        <v>35</v>
      </c>
      <c r="C36" s="1">
        <v>30</v>
      </c>
      <c r="D36" s="33"/>
    </row>
    <row r="37" spans="2:4" ht="12.75" hidden="1" outlineLevel="1">
      <c r="B37" s="2" t="s">
        <v>36</v>
      </c>
      <c r="C37" s="1">
        <v>31</v>
      </c>
      <c r="D37" s="33"/>
    </row>
    <row r="38" spans="2:4" ht="12.75" hidden="1" outlineLevel="1">
      <c r="B38" s="2" t="s">
        <v>37</v>
      </c>
      <c r="C38" s="1">
        <v>32</v>
      </c>
      <c r="D38" s="33"/>
    </row>
    <row r="39" spans="2:4" ht="12.75" hidden="1" outlineLevel="1">
      <c r="B39" s="2" t="s">
        <v>38</v>
      </c>
      <c r="C39" s="1">
        <v>33</v>
      </c>
      <c r="D39" s="33"/>
    </row>
    <row r="40" spans="2:4" ht="12.75" hidden="1" outlineLevel="1">
      <c r="B40" s="2" t="s">
        <v>39</v>
      </c>
      <c r="C40" s="1">
        <v>34</v>
      </c>
      <c r="D40" s="33"/>
    </row>
    <row r="41" spans="2:4" ht="12.75" collapsed="1">
      <c r="B41" s="2" t="s">
        <v>40</v>
      </c>
      <c r="C41" s="1">
        <v>35</v>
      </c>
      <c r="D41" s="33">
        <f>D42</f>
        <v>-1710.844</v>
      </c>
    </row>
    <row r="42" spans="2:4" ht="12.75">
      <c r="B42" s="2" t="s">
        <v>41</v>
      </c>
      <c r="C42" s="1">
        <v>36</v>
      </c>
      <c r="D42" s="33">
        <f>-FIS10!C40</f>
        <v>-1710.844</v>
      </c>
    </row>
    <row r="43" spans="2:4" ht="25.5" hidden="1" outlineLevel="1">
      <c r="B43" s="2" t="s">
        <v>42</v>
      </c>
      <c r="C43" s="1">
        <v>37</v>
      </c>
      <c r="D43" s="33"/>
    </row>
    <row r="44" spans="2:4" ht="38.25" hidden="1" outlineLevel="1">
      <c r="B44" s="2" t="s">
        <v>43</v>
      </c>
      <c r="C44" s="1">
        <v>38</v>
      </c>
      <c r="D44" s="33"/>
    </row>
    <row r="45" spans="2:4" ht="25.5" hidden="1" outlineLevel="1">
      <c r="B45" s="2" t="s">
        <v>44</v>
      </c>
      <c r="C45" s="1">
        <v>39</v>
      </c>
      <c r="D45" s="33"/>
    </row>
    <row r="46" spans="2:4" ht="12.75" hidden="1" outlineLevel="1">
      <c r="B46" s="2" t="s">
        <v>45</v>
      </c>
      <c r="C46" s="1">
        <v>40</v>
      </c>
      <c r="D46" s="33"/>
    </row>
    <row r="47" spans="2:4" ht="25.5" hidden="1" outlineLevel="1">
      <c r="B47" s="2" t="s">
        <v>46</v>
      </c>
      <c r="C47" s="1">
        <v>41</v>
      </c>
      <c r="D47" s="33"/>
    </row>
    <row r="48" spans="2:4" ht="25.5" hidden="1" outlineLevel="1">
      <c r="B48" s="2" t="s">
        <v>47</v>
      </c>
      <c r="C48" s="1">
        <v>42</v>
      </c>
      <c r="D48" s="33"/>
    </row>
    <row r="49" spans="2:4" ht="25.5" hidden="1" outlineLevel="1">
      <c r="B49" s="2" t="s">
        <v>48</v>
      </c>
      <c r="C49" s="1">
        <v>43</v>
      </c>
      <c r="D49" s="33"/>
    </row>
    <row r="50" spans="2:4" ht="12.75" hidden="1" outlineLevel="1">
      <c r="B50" s="2" t="s">
        <v>49</v>
      </c>
      <c r="C50" s="1">
        <v>44</v>
      </c>
      <c r="D50" s="33"/>
    </row>
    <row r="51" spans="2:4" ht="12.75" hidden="1" outlineLevel="1">
      <c r="B51" s="2" t="s">
        <v>50</v>
      </c>
      <c r="C51" s="1">
        <v>45</v>
      </c>
      <c r="D51" s="33"/>
    </row>
    <row r="52" spans="2:4" ht="25.5" hidden="1" outlineLevel="1">
      <c r="B52" s="2" t="s">
        <v>51</v>
      </c>
      <c r="C52" s="1">
        <v>46</v>
      </c>
      <c r="D52" s="33"/>
    </row>
    <row r="53" spans="2:4" ht="25.5" hidden="1" outlineLevel="1">
      <c r="B53" s="2" t="s">
        <v>52</v>
      </c>
      <c r="C53" s="1">
        <v>47</v>
      </c>
      <c r="D53" s="33"/>
    </row>
    <row r="54" spans="2:4" ht="12.75" hidden="1" outlineLevel="1">
      <c r="B54" s="2" t="s">
        <v>53</v>
      </c>
      <c r="C54" s="1">
        <v>48</v>
      </c>
      <c r="D54" s="33"/>
    </row>
    <row r="55" spans="2:4" ht="25.5" hidden="1" outlineLevel="1">
      <c r="B55" s="2" t="s">
        <v>54</v>
      </c>
      <c r="C55" s="1">
        <v>49</v>
      </c>
      <c r="D55" s="33"/>
    </row>
    <row r="56" spans="2:4" ht="25.5" hidden="1" outlineLevel="1">
      <c r="B56" s="2" t="s">
        <v>55</v>
      </c>
      <c r="C56" s="1">
        <v>50</v>
      </c>
      <c r="D56" s="33"/>
    </row>
    <row r="57" spans="2:4" ht="25.5" hidden="1" outlineLevel="1">
      <c r="B57" s="2" t="s">
        <v>56</v>
      </c>
      <c r="C57" s="1">
        <v>51</v>
      </c>
      <c r="D57" s="33"/>
    </row>
    <row r="58" spans="2:4" ht="25.5" hidden="1" outlineLevel="1">
      <c r="B58" s="2" t="s">
        <v>57</v>
      </c>
      <c r="C58" s="1">
        <v>52</v>
      </c>
      <c r="D58" s="33"/>
    </row>
    <row r="59" spans="2:4" ht="12.75" hidden="1" outlineLevel="1">
      <c r="B59" s="2" t="s">
        <v>58</v>
      </c>
      <c r="C59" s="1">
        <v>53</v>
      </c>
      <c r="D59" s="33"/>
    </row>
    <row r="60" spans="2:4" ht="12.75" hidden="1" outlineLevel="1">
      <c r="B60" s="2" t="s">
        <v>59</v>
      </c>
      <c r="C60" s="1">
        <v>54</v>
      </c>
      <c r="D60" s="33"/>
    </row>
    <row r="61" spans="2:4" ht="12.75" hidden="1" outlineLevel="1">
      <c r="B61" s="2" t="s">
        <v>60</v>
      </c>
      <c r="C61" s="1">
        <v>55</v>
      </c>
      <c r="D61" s="33"/>
    </row>
    <row r="62" spans="2:4" ht="12.75" hidden="1" outlineLevel="1">
      <c r="B62" s="2" t="s">
        <v>61</v>
      </c>
      <c r="C62" s="1">
        <v>56</v>
      </c>
      <c r="D62" s="33"/>
    </row>
    <row r="63" spans="2:4" ht="25.5" hidden="1" outlineLevel="1">
      <c r="B63" s="2" t="s">
        <v>62</v>
      </c>
      <c r="C63" s="1">
        <v>57</v>
      </c>
      <c r="D63" s="33"/>
    </row>
    <row r="64" spans="2:4" ht="12.75" hidden="1" outlineLevel="1">
      <c r="B64" s="2" t="s">
        <v>63</v>
      </c>
      <c r="C64" s="1">
        <v>58</v>
      </c>
      <c r="D64" s="33"/>
    </row>
    <row r="65" spans="2:4" ht="12.75" hidden="1" outlineLevel="1">
      <c r="B65" s="2" t="s">
        <v>64</v>
      </c>
      <c r="C65" s="1">
        <v>59</v>
      </c>
      <c r="D65" s="33"/>
    </row>
    <row r="66" spans="2:4" ht="12.75" hidden="1" outlineLevel="1">
      <c r="B66" s="2" t="s">
        <v>65</v>
      </c>
      <c r="C66" s="1">
        <v>60</v>
      </c>
      <c r="D66" s="33"/>
    </row>
    <row r="67" spans="2:4" ht="12.75" hidden="1" outlineLevel="1">
      <c r="B67" s="2" t="s">
        <v>66</v>
      </c>
      <c r="C67" s="1">
        <v>61</v>
      </c>
      <c r="D67" s="33"/>
    </row>
    <row r="68" spans="2:4" ht="12.75" hidden="1" outlineLevel="1">
      <c r="B68" s="2" t="s">
        <v>13</v>
      </c>
      <c r="C68" s="1">
        <v>62</v>
      </c>
      <c r="D68" s="33"/>
    </row>
    <row r="69" spans="2:4" ht="12.75" hidden="1" outlineLevel="1">
      <c r="B69" s="2" t="s">
        <v>67</v>
      </c>
      <c r="C69" s="1">
        <v>63</v>
      </c>
      <c r="D69" s="33"/>
    </row>
    <row r="70" spans="2:4" ht="12.75" hidden="1" outlineLevel="1">
      <c r="B70" s="2" t="s">
        <v>68</v>
      </c>
      <c r="C70" s="1">
        <v>64</v>
      </c>
      <c r="D70" s="33"/>
    </row>
    <row r="71" spans="2:4" ht="12.75" hidden="1" outlineLevel="1">
      <c r="B71" s="2" t="s">
        <v>69</v>
      </c>
      <c r="C71" s="1">
        <v>65</v>
      </c>
      <c r="D71" s="33"/>
    </row>
    <row r="72" spans="2:4" ht="12.75" hidden="1" outlineLevel="1">
      <c r="B72" s="2" t="s">
        <v>70</v>
      </c>
      <c r="C72" s="1">
        <v>66</v>
      </c>
      <c r="D72" s="33"/>
    </row>
    <row r="73" spans="2:4" ht="25.5" hidden="1" outlineLevel="1">
      <c r="B73" s="2" t="s">
        <v>71</v>
      </c>
      <c r="C73" s="1">
        <v>67</v>
      </c>
      <c r="D73" s="33"/>
    </row>
    <row r="74" spans="2:4" ht="12.75" hidden="1" outlineLevel="1">
      <c r="B74" s="2" t="s">
        <v>72</v>
      </c>
      <c r="C74" s="1">
        <v>68</v>
      </c>
      <c r="D74" s="33"/>
    </row>
    <row r="75" spans="2:4" ht="12.75" hidden="1" outlineLevel="1">
      <c r="B75" s="2" t="s">
        <v>73</v>
      </c>
      <c r="C75" s="1">
        <v>69</v>
      </c>
      <c r="D75" s="33"/>
    </row>
    <row r="76" spans="2:4" ht="25.5" hidden="1" outlineLevel="1">
      <c r="B76" s="2" t="s">
        <v>74</v>
      </c>
      <c r="C76" s="1">
        <v>70</v>
      </c>
      <c r="D76" s="33"/>
    </row>
    <row r="77" spans="2:4" ht="25.5" hidden="1" outlineLevel="1">
      <c r="B77" s="2" t="s">
        <v>75</v>
      </c>
      <c r="C77" s="1">
        <v>71</v>
      </c>
      <c r="D77" s="33"/>
    </row>
    <row r="78" spans="2:4" ht="25.5" hidden="1" outlineLevel="1">
      <c r="B78" s="2" t="s">
        <v>76</v>
      </c>
      <c r="C78" s="1">
        <v>72</v>
      </c>
      <c r="D78" s="33"/>
    </row>
    <row r="79" spans="2:4" ht="25.5" hidden="1" outlineLevel="1">
      <c r="B79" s="2" t="s">
        <v>77</v>
      </c>
      <c r="C79" s="1">
        <v>73</v>
      </c>
      <c r="D79" s="33"/>
    </row>
    <row r="80" spans="2:4" ht="12.75" hidden="1" outlineLevel="1">
      <c r="B80" s="2" t="s">
        <v>78</v>
      </c>
      <c r="C80" s="1">
        <v>74</v>
      </c>
      <c r="D80" s="33"/>
    </row>
    <row r="81" spans="2:4" ht="12.75" hidden="1" outlineLevel="1">
      <c r="B81" s="2" t="s">
        <v>79</v>
      </c>
      <c r="C81" s="1">
        <v>75</v>
      </c>
      <c r="D81" s="33"/>
    </row>
    <row r="82" spans="2:4" ht="25.5" hidden="1" outlineLevel="1">
      <c r="B82" s="2" t="s">
        <v>80</v>
      </c>
      <c r="C82" s="1">
        <v>76</v>
      </c>
      <c r="D82" s="33"/>
    </row>
    <row r="83" spans="2:4" ht="12.75" hidden="1" outlineLevel="1">
      <c r="B83" s="2" t="s">
        <v>81</v>
      </c>
      <c r="C83" s="1">
        <v>77</v>
      </c>
      <c r="D83" s="33"/>
    </row>
    <row r="84" spans="2:4" ht="25.5" hidden="1" outlineLevel="1">
      <c r="B84" s="2" t="s">
        <v>82</v>
      </c>
      <c r="C84" s="1">
        <v>78</v>
      </c>
      <c r="D84" s="33"/>
    </row>
    <row r="85" spans="2:4" ht="12.75" hidden="1" outlineLevel="1">
      <c r="B85" s="2" t="s">
        <v>83</v>
      </c>
      <c r="C85" s="1">
        <v>79</v>
      </c>
      <c r="D85" s="33"/>
    </row>
    <row r="86" spans="2:4" ht="12.75" hidden="1" outlineLevel="1">
      <c r="B86" s="2" t="s">
        <v>84</v>
      </c>
      <c r="C86" s="1">
        <v>80</v>
      </c>
      <c r="D86" s="33"/>
    </row>
    <row r="87" spans="2:4" ht="12.75" hidden="1" outlineLevel="1">
      <c r="B87" s="2" t="s">
        <v>85</v>
      </c>
      <c r="C87" s="1">
        <v>81</v>
      </c>
      <c r="D87" s="33"/>
    </row>
    <row r="88" spans="2:4" ht="25.5" hidden="1" outlineLevel="1">
      <c r="B88" s="2" t="s">
        <v>86</v>
      </c>
      <c r="C88" s="1">
        <v>82</v>
      </c>
      <c r="D88" s="33"/>
    </row>
    <row r="89" spans="2:4" ht="12.75" hidden="1" outlineLevel="1">
      <c r="B89" s="2" t="s">
        <v>13</v>
      </c>
      <c r="C89" s="1">
        <v>83</v>
      </c>
      <c r="D89" s="33"/>
    </row>
    <row r="90" spans="2:4" ht="12.75" hidden="1" outlineLevel="1">
      <c r="B90" s="2" t="s">
        <v>87</v>
      </c>
      <c r="C90" s="1">
        <v>84</v>
      </c>
      <c r="D90" s="33"/>
    </row>
    <row r="91" spans="2:4" ht="12.75" hidden="1" outlineLevel="1">
      <c r="B91" s="2" t="s">
        <v>88</v>
      </c>
      <c r="C91" s="1">
        <v>85</v>
      </c>
      <c r="D91" s="33"/>
    </row>
    <row r="92" spans="2:4" ht="12.75" hidden="1" outlineLevel="1">
      <c r="B92" s="2" t="s">
        <v>89</v>
      </c>
      <c r="C92" s="1">
        <v>86</v>
      </c>
      <c r="D92" s="33"/>
    </row>
    <row r="93" spans="2:4" ht="12.75" hidden="1" outlineLevel="1">
      <c r="B93" s="2" t="s">
        <v>90</v>
      </c>
      <c r="C93" s="1">
        <v>87</v>
      </c>
      <c r="D93" s="33"/>
    </row>
    <row r="94" spans="2:4" ht="25.5" hidden="1" outlineLevel="1">
      <c r="B94" s="2" t="s">
        <v>91</v>
      </c>
      <c r="C94" s="1">
        <v>88</v>
      </c>
      <c r="D94" s="33"/>
    </row>
    <row r="95" spans="2:4" ht="12.75" hidden="1" outlineLevel="1">
      <c r="B95" s="2" t="s">
        <v>92</v>
      </c>
      <c r="C95" s="1">
        <v>89</v>
      </c>
      <c r="D95" s="33"/>
    </row>
    <row r="96" spans="2:4" ht="12.75" hidden="1" outlineLevel="1">
      <c r="B96" s="2" t="s">
        <v>93</v>
      </c>
      <c r="C96" s="1">
        <v>90</v>
      </c>
      <c r="D96" s="33"/>
    </row>
    <row r="97" spans="2:4" ht="25.5" hidden="1" outlineLevel="1">
      <c r="B97" s="2" t="s">
        <v>94</v>
      </c>
      <c r="C97" s="1">
        <v>91</v>
      </c>
      <c r="D97" s="33"/>
    </row>
    <row r="98" spans="2:4" ht="12.75" hidden="1" outlineLevel="1">
      <c r="B98" s="2" t="s">
        <v>95</v>
      </c>
      <c r="C98" s="1">
        <v>92</v>
      </c>
      <c r="D98" s="33"/>
    </row>
    <row r="99" spans="2:4" ht="12.75" hidden="1" outlineLevel="1">
      <c r="B99" s="2" t="s">
        <v>96</v>
      </c>
      <c r="C99" s="1">
        <v>93</v>
      </c>
      <c r="D99" s="33"/>
    </row>
    <row r="100" spans="2:4" ht="25.5" hidden="1" outlineLevel="1">
      <c r="B100" s="2" t="s">
        <v>97</v>
      </c>
      <c r="C100" s="1">
        <v>94</v>
      </c>
      <c r="D100" s="33"/>
    </row>
    <row r="101" spans="2:4" ht="25.5" hidden="1" outlineLevel="1">
      <c r="B101" s="2" t="s">
        <v>98</v>
      </c>
      <c r="C101" s="1">
        <v>95</v>
      </c>
      <c r="D101" s="33"/>
    </row>
    <row r="102" spans="2:4" ht="25.5" hidden="1" outlineLevel="1">
      <c r="B102" s="2" t="s">
        <v>99</v>
      </c>
      <c r="C102" s="1">
        <v>96</v>
      </c>
      <c r="D102" s="33"/>
    </row>
    <row r="103" spans="2:4" ht="12.75" hidden="1" outlineLevel="1">
      <c r="B103" s="2" t="s">
        <v>100</v>
      </c>
      <c r="C103" s="1">
        <v>97</v>
      </c>
      <c r="D103" s="33"/>
    </row>
    <row r="104" spans="2:4" ht="12.75" hidden="1" outlineLevel="1">
      <c r="B104" s="2" t="s">
        <v>101</v>
      </c>
      <c r="C104" s="1">
        <v>98</v>
      </c>
      <c r="D104" s="33"/>
    </row>
    <row r="105" spans="2:4" ht="12.75" hidden="1" outlineLevel="1">
      <c r="B105" s="2" t="s">
        <v>102</v>
      </c>
      <c r="C105" s="1">
        <v>99</v>
      </c>
      <c r="D105" s="33"/>
    </row>
    <row r="106" spans="2:4" ht="12.75" hidden="1" outlineLevel="1">
      <c r="B106" s="2" t="s">
        <v>103</v>
      </c>
      <c r="C106" s="1">
        <v>100</v>
      </c>
      <c r="D106" s="33"/>
    </row>
    <row r="107" ht="12.75" hidden="1" outlineLevel="1"/>
    <row r="108" ht="12.75" collapsed="1"/>
  </sheetData>
  <sheetProtection/>
  <mergeCells count="4">
    <mergeCell ref="B1:E1"/>
    <mergeCell ref="C3:E3"/>
    <mergeCell ref="C4:E4"/>
    <mergeCell ref="B5:E5"/>
  </mergeCells>
  <printOptions/>
  <pageMargins left="0.75" right="0.75" top="1" bottom="1" header="0.5" footer="0.5"/>
  <pageSetup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PageLayoutView="0" workbookViewId="0" topLeftCell="A1">
      <selection activeCell="N15" activeCellId="1" sqref="N5:O5 N15:O15"/>
    </sheetView>
  </sheetViews>
  <sheetFormatPr defaultColWidth="9.140625" defaultRowHeight="12.75"/>
  <cols>
    <col min="2" max="2" width="55.28125" style="0" customWidth="1"/>
    <col min="4" max="4" width="2.28125" style="0" customWidth="1"/>
    <col min="6" max="6" width="3.7109375" style="0" customWidth="1"/>
    <col min="8" max="8" width="2.28125" style="0" customWidth="1"/>
    <col min="10" max="10" width="2.00390625" style="0" customWidth="1"/>
    <col min="12" max="12" width="1.28515625" style="0" customWidth="1"/>
    <col min="14" max="14" width="3.7109375" style="0" customWidth="1"/>
  </cols>
  <sheetData>
    <row r="1" spans="1:15" ht="15.75" customHeight="1">
      <c r="A1" s="64" t="s">
        <v>609</v>
      </c>
      <c r="B1" s="65"/>
      <c r="K1" t="s">
        <v>610</v>
      </c>
      <c r="O1" s="66">
        <f>N5+N15-FIS10!C10</f>
        <v>0</v>
      </c>
    </row>
    <row r="2" spans="1:23" ht="94.5">
      <c r="A2" s="257"/>
      <c r="B2" s="257"/>
      <c r="C2" s="257"/>
      <c r="D2" s="61"/>
      <c r="E2" s="62" t="s">
        <v>611</v>
      </c>
      <c r="F2" s="61"/>
      <c r="G2" s="62" t="s">
        <v>612</v>
      </c>
      <c r="H2" s="61"/>
      <c r="I2" s="62" t="s">
        <v>613</v>
      </c>
      <c r="J2" s="61"/>
      <c r="K2" s="62" t="s">
        <v>614</v>
      </c>
      <c r="L2" s="61"/>
      <c r="M2" s="62" t="s">
        <v>613</v>
      </c>
      <c r="N2" s="61"/>
      <c r="O2" s="62" t="s">
        <v>615</v>
      </c>
      <c r="P2" s="61"/>
      <c r="Q2" s="62" t="s">
        <v>616</v>
      </c>
      <c r="R2" s="61"/>
      <c r="S2" s="62" t="s">
        <v>617</v>
      </c>
      <c r="T2" s="61"/>
      <c r="U2" s="62" t="s">
        <v>618</v>
      </c>
      <c r="V2" s="61"/>
      <c r="W2" s="62" t="s">
        <v>619</v>
      </c>
    </row>
    <row r="3" spans="1:23" ht="12.75">
      <c r="A3" s="257"/>
      <c r="B3" s="257"/>
      <c r="C3" s="257"/>
      <c r="D3" s="255" t="s">
        <v>581</v>
      </c>
      <c r="E3" s="255"/>
      <c r="F3" s="255" t="s">
        <v>582</v>
      </c>
      <c r="G3" s="255"/>
      <c r="H3" s="255" t="s">
        <v>583</v>
      </c>
      <c r="I3" s="255"/>
      <c r="J3" s="255" t="s">
        <v>584</v>
      </c>
      <c r="K3" s="255"/>
      <c r="L3" s="255" t="s">
        <v>585</v>
      </c>
      <c r="M3" s="255"/>
      <c r="N3" s="255" t="s">
        <v>586</v>
      </c>
      <c r="O3" s="255"/>
      <c r="P3" s="255" t="s">
        <v>587</v>
      </c>
      <c r="Q3" s="255"/>
      <c r="R3" s="255" t="s">
        <v>588</v>
      </c>
      <c r="S3" s="255"/>
      <c r="T3" s="255" t="s">
        <v>589</v>
      </c>
      <c r="U3" s="255"/>
      <c r="V3" s="255" t="s">
        <v>590</v>
      </c>
      <c r="W3" s="255"/>
    </row>
    <row r="4" spans="1:23" ht="12.75">
      <c r="A4" s="61"/>
      <c r="B4" s="62" t="s">
        <v>620</v>
      </c>
      <c r="C4" s="63" t="s">
        <v>600</v>
      </c>
      <c r="D4" s="250"/>
      <c r="E4" s="250"/>
      <c r="F4" s="250"/>
      <c r="G4" s="250"/>
      <c r="H4" s="250"/>
      <c r="I4" s="250"/>
      <c r="J4" s="251"/>
      <c r="K4" s="251"/>
      <c r="L4" s="251"/>
      <c r="M4" s="251"/>
      <c r="N4" s="254">
        <f>N5+N15</f>
        <v>14485.166380000002</v>
      </c>
      <c r="O4" s="250"/>
      <c r="P4" s="250"/>
      <c r="Q4" s="250"/>
      <c r="R4" s="250"/>
      <c r="S4" s="250"/>
      <c r="T4" s="251"/>
      <c r="U4" s="251"/>
      <c r="V4" s="251"/>
      <c r="W4" s="251"/>
    </row>
    <row r="5" spans="1:23" ht="12.75">
      <c r="A5" s="61"/>
      <c r="B5" s="62" t="s">
        <v>564</v>
      </c>
      <c r="C5" s="63" t="s">
        <v>602</v>
      </c>
      <c r="D5" s="252"/>
      <c r="E5" s="253"/>
      <c r="F5" s="250"/>
      <c r="G5" s="250"/>
      <c r="H5" s="250"/>
      <c r="I5" s="250"/>
      <c r="J5" s="251"/>
      <c r="K5" s="251"/>
      <c r="L5" s="251"/>
      <c r="M5" s="251"/>
      <c r="N5" s="252">
        <f>FIS10!C14</f>
        <v>6411.022980000001</v>
      </c>
      <c r="O5" s="252"/>
      <c r="P5" s="250"/>
      <c r="Q5" s="250"/>
      <c r="R5" s="250"/>
      <c r="S5" s="250"/>
      <c r="T5" s="251"/>
      <c r="U5" s="251"/>
      <c r="V5" s="251"/>
      <c r="W5" s="251"/>
    </row>
    <row r="6" spans="1:23" ht="12.75">
      <c r="A6" s="61"/>
      <c r="B6" s="62" t="s">
        <v>565</v>
      </c>
      <c r="C6" s="63" t="s">
        <v>604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</row>
    <row r="7" spans="1:23" ht="12.75">
      <c r="A7" s="61"/>
      <c r="B7" s="62" t="s">
        <v>621</v>
      </c>
      <c r="C7" s="63" t="s">
        <v>606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</row>
    <row r="8" spans="1:23" ht="12.75">
      <c r="A8" s="61"/>
      <c r="B8" s="62" t="s">
        <v>622</v>
      </c>
      <c r="C8" s="63" t="s">
        <v>608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</row>
    <row r="9" spans="1:23" ht="12.75">
      <c r="A9" s="61"/>
      <c r="B9" s="62" t="s">
        <v>623</v>
      </c>
      <c r="C9" s="63" t="s">
        <v>624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</row>
    <row r="10" spans="1:23" ht="12.75">
      <c r="A10" s="61"/>
      <c r="B10" s="62" t="s">
        <v>625</v>
      </c>
      <c r="C10" s="63" t="s">
        <v>626</v>
      </c>
      <c r="D10" s="250"/>
      <c r="E10" s="250"/>
      <c r="F10" s="251"/>
      <c r="G10" s="251"/>
      <c r="H10" s="250"/>
      <c r="I10" s="250"/>
      <c r="J10" s="250"/>
      <c r="K10" s="250"/>
      <c r="L10" s="250"/>
      <c r="M10" s="250"/>
      <c r="N10" s="250"/>
      <c r="O10" s="250"/>
      <c r="P10" s="251"/>
      <c r="Q10" s="251"/>
      <c r="R10" s="250"/>
      <c r="S10" s="250"/>
      <c r="T10" s="250"/>
      <c r="U10" s="250"/>
      <c r="V10" s="250"/>
      <c r="W10" s="250"/>
    </row>
    <row r="11" spans="1:23" ht="12.75">
      <c r="A11" s="61"/>
      <c r="B11" s="62" t="s">
        <v>627</v>
      </c>
      <c r="C11" s="63" t="s">
        <v>628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>
      <c r="A12" s="61"/>
      <c r="B12" s="62" t="s">
        <v>629</v>
      </c>
      <c r="C12" s="63" t="s">
        <v>630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23" ht="12.75">
      <c r="A13" s="61"/>
      <c r="B13" s="62" t="s">
        <v>631</v>
      </c>
      <c r="C13" s="63" t="s">
        <v>632</v>
      </c>
      <c r="D13" s="250"/>
      <c r="E13" s="250"/>
      <c r="F13" s="250"/>
      <c r="G13" s="250"/>
      <c r="H13" s="250"/>
      <c r="I13" s="250"/>
      <c r="J13" s="251"/>
      <c r="K13" s="251"/>
      <c r="L13" s="251"/>
      <c r="M13" s="251"/>
      <c r="N13" s="250"/>
      <c r="O13" s="250"/>
      <c r="P13" s="250"/>
      <c r="Q13" s="250"/>
      <c r="R13" s="250"/>
      <c r="S13" s="250"/>
      <c r="T13" s="251"/>
      <c r="U13" s="251"/>
      <c r="V13" s="251"/>
      <c r="W13" s="251"/>
    </row>
    <row r="14" spans="1:23" ht="12.75">
      <c r="A14" s="61"/>
      <c r="B14" s="62" t="s">
        <v>633</v>
      </c>
      <c r="C14" s="63" t="s">
        <v>634</v>
      </c>
      <c r="D14" s="250"/>
      <c r="E14" s="250"/>
      <c r="F14" s="250"/>
      <c r="G14" s="250"/>
      <c r="H14" s="250"/>
      <c r="I14" s="250"/>
      <c r="J14" s="251"/>
      <c r="K14" s="251"/>
      <c r="L14" s="251"/>
      <c r="M14" s="251"/>
      <c r="N14" s="250"/>
      <c r="O14" s="250"/>
      <c r="P14" s="250"/>
      <c r="Q14" s="250"/>
      <c r="R14" s="250"/>
      <c r="S14" s="250"/>
      <c r="T14" s="251"/>
      <c r="U14" s="251"/>
      <c r="V14" s="251"/>
      <c r="W14" s="251"/>
    </row>
    <row r="15" spans="1:23" ht="12.75">
      <c r="A15" s="61"/>
      <c r="B15" s="62" t="s">
        <v>635</v>
      </c>
      <c r="C15" s="63" t="s">
        <v>636</v>
      </c>
      <c r="D15" s="250"/>
      <c r="E15" s="250"/>
      <c r="F15" s="250"/>
      <c r="G15" s="250"/>
      <c r="H15" s="250"/>
      <c r="I15" s="250"/>
      <c r="J15" s="251"/>
      <c r="K15" s="251"/>
      <c r="L15" s="251"/>
      <c r="M15" s="251"/>
      <c r="N15" s="252">
        <f>FIS10!C10-FIS10!C14</f>
        <v>8074.143400000002</v>
      </c>
      <c r="O15" s="252"/>
      <c r="P15" s="250"/>
      <c r="Q15" s="250"/>
      <c r="R15" s="250"/>
      <c r="S15" s="250"/>
      <c r="T15" s="251"/>
      <c r="U15" s="251"/>
      <c r="V15" s="251"/>
      <c r="W15" s="251"/>
    </row>
    <row r="19" spans="2:9" ht="12.75" customHeight="1">
      <c r="B19" s="256" t="s">
        <v>774</v>
      </c>
      <c r="C19" s="256"/>
      <c r="D19" s="256"/>
      <c r="E19" s="256"/>
      <c r="F19" s="256"/>
      <c r="G19" s="256"/>
      <c r="H19" s="256"/>
      <c r="I19" s="256"/>
    </row>
    <row r="20" spans="2:9" ht="12.75" customHeight="1">
      <c r="B20" s="256"/>
      <c r="C20" s="256"/>
      <c r="D20" s="256"/>
      <c r="E20" s="256"/>
      <c r="F20" s="256"/>
      <c r="G20" s="256"/>
      <c r="H20" s="256"/>
      <c r="I20" s="256"/>
    </row>
    <row r="21" spans="2:9" ht="12.75" customHeight="1">
      <c r="B21" s="256"/>
      <c r="C21" s="256"/>
      <c r="D21" s="256"/>
      <c r="E21" s="256"/>
      <c r="F21" s="256"/>
      <c r="G21" s="256"/>
      <c r="H21" s="256"/>
      <c r="I21" s="256"/>
    </row>
    <row r="22" spans="2:9" ht="12.75" customHeight="1">
      <c r="B22" s="256"/>
      <c r="C22" s="256"/>
      <c r="D22" s="256"/>
      <c r="E22" s="256"/>
      <c r="F22" s="256"/>
      <c r="G22" s="256"/>
      <c r="H22" s="256"/>
      <c r="I22" s="256"/>
    </row>
  </sheetData>
  <sheetProtection/>
  <mergeCells count="132">
    <mergeCell ref="B19:I22"/>
    <mergeCell ref="A2:C3"/>
    <mergeCell ref="D3:E3"/>
    <mergeCell ref="F3:G3"/>
    <mergeCell ref="H3:I3"/>
    <mergeCell ref="J3:K3"/>
    <mergeCell ref="D4:E4"/>
    <mergeCell ref="F4:G4"/>
    <mergeCell ref="H4:I4"/>
    <mergeCell ref="J4:K4"/>
    <mergeCell ref="L3:M3"/>
    <mergeCell ref="N3:O3"/>
    <mergeCell ref="P3:Q3"/>
    <mergeCell ref="R3:S3"/>
    <mergeCell ref="T3:U3"/>
    <mergeCell ref="V3:W3"/>
    <mergeCell ref="L4:M4"/>
    <mergeCell ref="N4:O4"/>
    <mergeCell ref="P4:Q4"/>
    <mergeCell ref="R4:S4"/>
    <mergeCell ref="T4:U4"/>
    <mergeCell ref="V4:W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D13:E13"/>
    <mergeCell ref="F13:G13"/>
    <mergeCell ref="H13:I13"/>
    <mergeCell ref="J13:K13"/>
    <mergeCell ref="L13:M13"/>
    <mergeCell ref="P13:Q13"/>
    <mergeCell ref="R13:S13"/>
    <mergeCell ref="T13:U13"/>
    <mergeCell ref="V13:W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N13:O13"/>
    <mergeCell ref="N15:O15"/>
    <mergeCell ref="P15:Q15"/>
    <mergeCell ref="R15:S15"/>
    <mergeCell ref="T15:U15"/>
    <mergeCell ref="V15:W15"/>
    <mergeCell ref="N14:O14"/>
    <mergeCell ref="P14:Q14"/>
    <mergeCell ref="R14:S14"/>
    <mergeCell ref="T14:U14"/>
    <mergeCell ref="V14:W14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8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3.7109375" style="0" customWidth="1"/>
    <col min="5" max="5" width="5.7109375" style="0" customWidth="1"/>
    <col min="6" max="6" width="3.7109375" style="0" customWidth="1"/>
    <col min="7" max="7" width="6.28125" style="0" customWidth="1"/>
    <col min="8" max="38" width="3.7109375" style="0" customWidth="1"/>
    <col min="39" max="39" width="6.7109375" style="0" customWidth="1"/>
  </cols>
  <sheetData>
    <row r="1" spans="1:40" ht="12.75">
      <c r="A1" s="258" t="s">
        <v>562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60"/>
    </row>
    <row r="2" spans="1:49" ht="294">
      <c r="A2" s="257"/>
      <c r="B2" s="257"/>
      <c r="C2" s="257"/>
      <c r="D2" s="61"/>
      <c r="E2" s="62" t="s">
        <v>563</v>
      </c>
      <c r="F2" s="61"/>
      <c r="G2" s="62" t="s">
        <v>564</v>
      </c>
      <c r="H2" s="61"/>
      <c r="I2" s="62" t="s">
        <v>565</v>
      </c>
      <c r="J2" s="61"/>
      <c r="K2" s="62" t="s">
        <v>566</v>
      </c>
      <c r="L2" s="61"/>
      <c r="M2" s="62" t="s">
        <v>567</v>
      </c>
      <c r="N2" s="61"/>
      <c r="O2" s="62" t="s">
        <v>568</v>
      </c>
      <c r="P2" s="61"/>
      <c r="Q2" s="62" t="s">
        <v>569</v>
      </c>
      <c r="R2" s="61"/>
      <c r="S2" s="62" t="s">
        <v>570</v>
      </c>
      <c r="T2" s="61"/>
      <c r="U2" s="62" t="s">
        <v>571</v>
      </c>
      <c r="V2" s="61"/>
      <c r="W2" s="62" t="s">
        <v>572</v>
      </c>
      <c r="X2" s="61"/>
      <c r="Y2" s="62" t="s">
        <v>573</v>
      </c>
      <c r="Z2" s="61"/>
      <c r="AA2" s="62" t="s">
        <v>574</v>
      </c>
      <c r="AB2" s="61"/>
      <c r="AC2" s="62" t="s">
        <v>575</v>
      </c>
      <c r="AD2" s="61"/>
      <c r="AE2" s="62" t="s">
        <v>576</v>
      </c>
      <c r="AF2" s="61"/>
      <c r="AG2" s="62" t="s">
        <v>577</v>
      </c>
      <c r="AH2" s="61"/>
      <c r="AI2" s="62" t="s">
        <v>578</v>
      </c>
      <c r="AJ2" s="61"/>
      <c r="AK2" s="62" t="s">
        <v>579</v>
      </c>
      <c r="AL2" s="61"/>
      <c r="AM2" s="62" t="s">
        <v>580</v>
      </c>
      <c r="AP2" s="256" t="s">
        <v>774</v>
      </c>
      <c r="AQ2" s="256"/>
      <c r="AR2" s="256"/>
      <c r="AS2" s="256"/>
      <c r="AT2" s="256"/>
      <c r="AU2" s="256"/>
      <c r="AV2" s="256"/>
      <c r="AW2" s="256"/>
    </row>
    <row r="3" spans="1:49" ht="12.75">
      <c r="A3" s="257"/>
      <c r="B3" s="257"/>
      <c r="C3" s="257"/>
      <c r="D3" s="255" t="s">
        <v>581</v>
      </c>
      <c r="E3" s="255"/>
      <c r="F3" s="255" t="s">
        <v>582</v>
      </c>
      <c r="G3" s="255"/>
      <c r="H3" s="255" t="s">
        <v>583</v>
      </c>
      <c r="I3" s="255"/>
      <c r="J3" s="255" t="s">
        <v>584</v>
      </c>
      <c r="K3" s="255"/>
      <c r="L3" s="255" t="s">
        <v>585</v>
      </c>
      <c r="M3" s="255"/>
      <c r="N3" s="255" t="s">
        <v>586</v>
      </c>
      <c r="O3" s="255"/>
      <c r="P3" s="255" t="s">
        <v>587</v>
      </c>
      <c r="Q3" s="255"/>
      <c r="R3" s="255" t="s">
        <v>588</v>
      </c>
      <c r="S3" s="255"/>
      <c r="T3" s="255" t="s">
        <v>589</v>
      </c>
      <c r="U3" s="255"/>
      <c r="V3" s="255" t="s">
        <v>590</v>
      </c>
      <c r="W3" s="255"/>
      <c r="X3" s="255" t="s">
        <v>591</v>
      </c>
      <c r="Y3" s="255"/>
      <c r="Z3" s="255" t="s">
        <v>592</v>
      </c>
      <c r="AA3" s="255"/>
      <c r="AB3" s="255" t="s">
        <v>593</v>
      </c>
      <c r="AC3" s="255"/>
      <c r="AD3" s="255" t="s">
        <v>594</v>
      </c>
      <c r="AE3" s="255"/>
      <c r="AF3" s="255" t="s">
        <v>595</v>
      </c>
      <c r="AG3" s="255"/>
      <c r="AH3" s="255" t="s">
        <v>596</v>
      </c>
      <c r="AI3" s="255"/>
      <c r="AJ3" s="255" t="s">
        <v>597</v>
      </c>
      <c r="AK3" s="255"/>
      <c r="AL3" s="255" t="s">
        <v>598</v>
      </c>
      <c r="AM3" s="255"/>
      <c r="AP3" s="256"/>
      <c r="AQ3" s="256"/>
      <c r="AR3" s="256"/>
      <c r="AS3" s="256"/>
      <c r="AT3" s="256"/>
      <c r="AU3" s="256"/>
      <c r="AV3" s="256"/>
      <c r="AW3" s="256"/>
    </row>
    <row r="4" spans="1:49" ht="42">
      <c r="A4" s="61"/>
      <c r="B4" s="62" t="s">
        <v>599</v>
      </c>
      <c r="C4" s="63" t="s">
        <v>600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P4" s="256"/>
      <c r="AQ4" s="256"/>
      <c r="AR4" s="256"/>
      <c r="AS4" s="256"/>
      <c r="AT4" s="256"/>
      <c r="AU4" s="256"/>
      <c r="AV4" s="256"/>
      <c r="AW4" s="256"/>
    </row>
    <row r="5" spans="1:49" ht="31.5">
      <c r="A5" s="61"/>
      <c r="B5" s="62" t="s">
        <v>601</v>
      </c>
      <c r="C5" s="63" t="s">
        <v>602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P5" s="256"/>
      <c r="AQ5" s="256"/>
      <c r="AR5" s="256"/>
      <c r="AS5" s="256"/>
      <c r="AT5" s="256"/>
      <c r="AU5" s="256"/>
      <c r="AV5" s="256"/>
      <c r="AW5" s="256"/>
    </row>
    <row r="6" spans="1:39" ht="52.5">
      <c r="A6" s="61"/>
      <c r="B6" s="62" t="s">
        <v>603</v>
      </c>
      <c r="C6" s="63" t="s">
        <v>604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</row>
    <row r="7" spans="1:39" ht="31.5">
      <c r="A7" s="61"/>
      <c r="B7" s="62" t="s">
        <v>605</v>
      </c>
      <c r="C7" s="63" t="s">
        <v>606</v>
      </c>
      <c r="D7" s="252">
        <f>F7+AL7</f>
        <v>14485.166380000002</v>
      </c>
      <c r="E7" s="252"/>
      <c r="F7" s="252">
        <f>AESIFE10!N5</f>
        <v>6411.022980000001</v>
      </c>
      <c r="G7" s="252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2">
        <f>AESIFE10!N15</f>
        <v>8074.143400000002</v>
      </c>
      <c r="AM7" s="252"/>
    </row>
    <row r="8" spans="1:39" ht="52.5">
      <c r="A8" s="61"/>
      <c r="B8" s="62" t="s">
        <v>607</v>
      </c>
      <c r="C8" s="63" t="s">
        <v>608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</row>
  </sheetData>
  <sheetProtection/>
  <mergeCells count="111">
    <mergeCell ref="AP2:AW5"/>
    <mergeCell ref="A1:AM1"/>
    <mergeCell ref="A2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H8:AI8"/>
    <mergeCell ref="AJ8:AK8"/>
    <mergeCell ref="AL8:AM8"/>
    <mergeCell ref="V8:W8"/>
    <mergeCell ref="X8:Y8"/>
    <mergeCell ref="Z8:AA8"/>
    <mergeCell ref="AB8:AC8"/>
    <mergeCell ref="AD8:AE8"/>
    <mergeCell ref="AF8:AG8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8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1.28515625" style="0" customWidth="1"/>
    <col min="2" max="2" width="8.28125" style="0" customWidth="1"/>
    <col min="3" max="3" width="1.57421875" style="0" customWidth="1"/>
    <col min="4" max="4" width="4.57421875" style="0" customWidth="1"/>
    <col min="5" max="5" width="51.140625" style="0" bestFit="1" customWidth="1"/>
    <col min="6" max="6" width="18.7109375" style="23" bestFit="1" customWidth="1"/>
    <col min="7" max="7" width="19.140625" style="0" customWidth="1"/>
    <col min="9" max="9" width="1.28515625" style="0" customWidth="1"/>
    <col min="11" max="11" width="13.7109375" style="0" customWidth="1"/>
    <col min="13" max="13" width="18.28125" style="0" customWidth="1"/>
  </cols>
  <sheetData>
    <row r="1" spans="5:6" ht="12.75">
      <c r="E1" t="s">
        <v>898</v>
      </c>
      <c r="F1" s="23">
        <f>SUM(F5:F67)</f>
        <v>14485166.380000005</v>
      </c>
    </row>
    <row r="2" spans="5:7" ht="12.75">
      <c r="E2" t="s">
        <v>899</v>
      </c>
      <c r="F2" s="23">
        <f>SUM(F71:F128)+F3</f>
        <v>11420222.1</v>
      </c>
      <c r="G2" s="23">
        <f>F2-F1</f>
        <v>-3064944.280000005</v>
      </c>
    </row>
    <row r="3" spans="5:6" ht="12.75">
      <c r="E3" t="s">
        <v>900</v>
      </c>
      <c r="F3" s="23">
        <f>F211</f>
        <v>-1532472.1400000006</v>
      </c>
    </row>
    <row r="4" spans="1:9" ht="21.75" customHeight="1">
      <c r="A4" s="6"/>
      <c r="B4" s="118" t="s">
        <v>853</v>
      </c>
      <c r="C4" s="6"/>
      <c r="D4" s="6"/>
      <c r="E4" s="6"/>
      <c r="I4" s="5"/>
    </row>
    <row r="5" spans="1:13" ht="12" customHeight="1">
      <c r="A5" s="6"/>
      <c r="B5" s="122">
        <v>111000</v>
      </c>
      <c r="C5" s="6"/>
      <c r="D5" s="6"/>
      <c r="E5" s="16" t="s">
        <v>638</v>
      </c>
      <c r="F5" s="114">
        <f>VLOOKUP(B5,'BS'!$B$2:$P$214,15,FALSE)</f>
        <v>11595</v>
      </c>
      <c r="I5" s="6"/>
      <c r="K5" s="122">
        <v>111000</v>
      </c>
      <c r="M5">
        <f>B5-K5</f>
        <v>0</v>
      </c>
    </row>
    <row r="6" spans="1:13" ht="12" customHeight="1">
      <c r="A6" s="6"/>
      <c r="B6" s="122">
        <v>111100</v>
      </c>
      <c r="C6" s="6"/>
      <c r="D6" s="6"/>
      <c r="E6" s="16" t="s">
        <v>639</v>
      </c>
      <c r="F6" s="114">
        <f>VLOOKUP(B6,'BS'!$B$2:$P$214,15,FALSE)</f>
        <v>950.4</v>
      </c>
      <c r="I6" s="6"/>
      <c r="K6" s="122">
        <v>111100</v>
      </c>
      <c r="M6">
        <f aca="true" t="shared" si="0" ref="M6:M67">B6-K6</f>
        <v>0</v>
      </c>
    </row>
    <row r="7" spans="1:13" ht="12" customHeight="1" thickBot="1">
      <c r="A7" s="6"/>
      <c r="B7" s="122">
        <v>119100</v>
      </c>
      <c r="C7" s="6"/>
      <c r="D7" s="6"/>
      <c r="E7" s="16" t="s">
        <v>640</v>
      </c>
      <c r="F7" s="114">
        <f>VLOOKUP(B7,'BS'!$B$2:$P$214,15,FALSE)</f>
        <v>35800</v>
      </c>
      <c r="I7" s="6"/>
      <c r="K7" s="133">
        <v>119100</v>
      </c>
      <c r="M7">
        <f t="shared" si="0"/>
        <v>0</v>
      </c>
    </row>
    <row r="8" spans="1:13" ht="12" customHeight="1" thickTop="1">
      <c r="A8" s="6"/>
      <c r="B8" s="122">
        <v>131001</v>
      </c>
      <c r="C8" s="6"/>
      <c r="D8" s="6"/>
      <c r="E8" s="16" t="s">
        <v>643</v>
      </c>
      <c r="F8" s="114">
        <f>VLOOKUP(B8,'BS'!$B$2:$P$214,15,FALSE)</f>
        <v>1518382.25</v>
      </c>
      <c r="I8" s="6"/>
      <c r="K8" s="134">
        <v>131001</v>
      </c>
      <c r="M8">
        <f t="shared" si="0"/>
        <v>0</v>
      </c>
    </row>
    <row r="9" spans="1:13" ht="12" customHeight="1">
      <c r="A9" s="6"/>
      <c r="B9" s="122">
        <v>131002</v>
      </c>
      <c r="C9" s="6"/>
      <c r="D9" s="6"/>
      <c r="E9" s="16" t="s">
        <v>644</v>
      </c>
      <c r="F9" s="114">
        <f>VLOOKUP(B9,'BS'!$B$2:$P$214,15,FALSE)</f>
        <v>1326373.21</v>
      </c>
      <c r="I9" s="6"/>
      <c r="K9" s="122">
        <v>131002</v>
      </c>
      <c r="M9">
        <f t="shared" si="0"/>
        <v>0</v>
      </c>
    </row>
    <row r="10" spans="1:13" ht="12" customHeight="1">
      <c r="A10" s="6"/>
      <c r="B10" s="122">
        <v>131003</v>
      </c>
      <c r="C10" s="6"/>
      <c r="D10" s="6"/>
      <c r="E10" s="16" t="s">
        <v>645</v>
      </c>
      <c r="F10" s="114">
        <f>VLOOKUP(B10,'BS'!$B$2:$P$214,15,FALSE)</f>
        <v>3768498.64</v>
      </c>
      <c r="I10" s="6"/>
      <c r="K10" s="123">
        <v>131003</v>
      </c>
      <c r="M10">
        <f t="shared" si="0"/>
        <v>0</v>
      </c>
    </row>
    <row r="11" spans="1:13" ht="12" customHeight="1" thickBot="1">
      <c r="A11" s="6"/>
      <c r="B11" s="122">
        <v>131100</v>
      </c>
      <c r="C11" s="115"/>
      <c r="D11" s="115"/>
      <c r="E11" s="116" t="s">
        <v>646</v>
      </c>
      <c r="F11" s="114">
        <f>VLOOKUP(B11,'BS'!$B$2:$P$214,15,FALSE)</f>
        <v>2910.19</v>
      </c>
      <c r="I11" s="6"/>
      <c r="K11" s="135">
        <v>131100</v>
      </c>
      <c r="M11">
        <f t="shared" si="0"/>
        <v>0</v>
      </c>
    </row>
    <row r="12" spans="1:13" ht="12" customHeight="1">
      <c r="A12" s="6"/>
      <c r="B12" s="122">
        <v>131101</v>
      </c>
      <c r="C12" s="6"/>
      <c r="D12" s="6"/>
      <c r="E12" s="137" t="s">
        <v>647</v>
      </c>
      <c r="F12" s="114">
        <f>VLOOKUP(B12,'BS'!$B$2:$P$214,15,FALSE)</f>
        <v>67222.96</v>
      </c>
      <c r="I12" s="6"/>
      <c r="K12" s="124">
        <v>131101</v>
      </c>
      <c r="M12">
        <f t="shared" si="0"/>
        <v>0</v>
      </c>
    </row>
    <row r="13" spans="1:13" ht="12" customHeight="1">
      <c r="A13" s="6"/>
      <c r="B13" s="122">
        <v>131103</v>
      </c>
      <c r="C13" s="6"/>
      <c r="D13" s="6"/>
      <c r="E13" s="137" t="s">
        <v>648</v>
      </c>
      <c r="F13" s="114">
        <f>VLOOKUP(B13,'BS'!$B$2:$P$214,15,FALSE)</f>
        <v>-81959.57</v>
      </c>
      <c r="I13" s="6"/>
      <c r="K13" s="122">
        <v>131103</v>
      </c>
      <c r="M13">
        <f t="shared" si="0"/>
        <v>0</v>
      </c>
    </row>
    <row r="14" spans="1:13" ht="12" customHeight="1">
      <c r="A14" s="6"/>
      <c r="B14" s="122">
        <v>131201</v>
      </c>
      <c r="C14" s="6"/>
      <c r="D14" s="6"/>
      <c r="E14" s="137" t="s">
        <v>649</v>
      </c>
      <c r="F14" s="114">
        <f>VLOOKUP(B14,'BS'!$B$2:$P$214,15,FALSE)</f>
        <v>-5964.63</v>
      </c>
      <c r="I14" s="6"/>
      <c r="K14" s="122">
        <v>131201</v>
      </c>
      <c r="M14">
        <f t="shared" si="0"/>
        <v>0</v>
      </c>
    </row>
    <row r="15" spans="1:13" ht="12" customHeight="1">
      <c r="A15" s="6"/>
      <c r="B15" s="122">
        <v>131203</v>
      </c>
      <c r="C15" s="6"/>
      <c r="D15" s="6"/>
      <c r="E15" s="137" t="s">
        <v>650</v>
      </c>
      <c r="F15" s="114">
        <f>VLOOKUP(B15,'BS'!$B$2:$P$214,15,FALSE)</f>
        <v>-195289</v>
      </c>
      <c r="I15" s="6"/>
      <c r="K15" s="122">
        <v>131203</v>
      </c>
      <c r="M15">
        <f t="shared" si="0"/>
        <v>0</v>
      </c>
    </row>
    <row r="16" spans="1:13" ht="12" customHeight="1">
      <c r="A16" s="6"/>
      <c r="B16" s="122">
        <v>131301</v>
      </c>
      <c r="C16" s="6"/>
      <c r="D16" s="6"/>
      <c r="E16" s="137" t="s">
        <v>651</v>
      </c>
      <c r="F16" s="114">
        <f>VLOOKUP(B16,'BS'!$B$2:$P$214,15,FALSE)</f>
        <v>1532.07</v>
      </c>
      <c r="I16" s="6"/>
      <c r="K16" s="122">
        <v>131301</v>
      </c>
      <c r="M16">
        <f t="shared" si="0"/>
        <v>0</v>
      </c>
    </row>
    <row r="17" spans="1:13" ht="12" customHeight="1">
      <c r="A17" s="6"/>
      <c r="B17" s="122">
        <v>131303</v>
      </c>
      <c r="C17" s="6"/>
      <c r="D17" s="6"/>
      <c r="E17" s="137" t="s">
        <v>652</v>
      </c>
      <c r="F17" s="114">
        <f>VLOOKUP(B17,'BS'!$B$2:$P$214,15,FALSE)</f>
        <v>9316.86</v>
      </c>
      <c r="I17" s="6"/>
      <c r="K17" s="122">
        <v>131303</v>
      </c>
      <c r="M17">
        <f t="shared" si="0"/>
        <v>0</v>
      </c>
    </row>
    <row r="18" spans="1:13" ht="12" customHeight="1">
      <c r="A18" s="6"/>
      <c r="B18" s="122">
        <v>181000</v>
      </c>
      <c r="C18" s="6"/>
      <c r="D18" s="6"/>
      <c r="E18" s="16" t="s">
        <v>655</v>
      </c>
      <c r="F18" s="23">
        <f>VLOOKUP(B18,'BS'!$B$2:$P$214,15,FALSE)</f>
        <v>0</v>
      </c>
      <c r="I18" s="6"/>
      <c r="K18" s="122">
        <v>181000</v>
      </c>
      <c r="M18">
        <f t="shared" si="0"/>
        <v>0</v>
      </c>
    </row>
    <row r="19" spans="1:13" ht="12" customHeight="1">
      <c r="A19" s="6"/>
      <c r="B19" s="122">
        <v>181002</v>
      </c>
      <c r="C19" s="6"/>
      <c r="D19" s="6"/>
      <c r="E19" s="16"/>
      <c r="F19" s="23">
        <f>VLOOKUP(B19,'BS'!$B$2:$P$214,15,FALSE)</f>
        <v>0</v>
      </c>
      <c r="I19" s="6"/>
      <c r="K19" s="122">
        <v>181002</v>
      </c>
      <c r="M19">
        <f t="shared" si="0"/>
        <v>0</v>
      </c>
    </row>
    <row r="20" spans="1:13" ht="12" customHeight="1">
      <c r="A20" s="6"/>
      <c r="B20" s="122">
        <v>181003</v>
      </c>
      <c r="C20" s="6"/>
      <c r="D20" s="6"/>
      <c r="E20" s="16" t="s">
        <v>656</v>
      </c>
      <c r="F20" s="23">
        <f>VLOOKUP(B20,'BS'!$B$2:$P$214,15,FALSE)</f>
        <v>0</v>
      </c>
      <c r="I20" s="6"/>
      <c r="K20" s="122">
        <v>181003</v>
      </c>
      <c r="M20">
        <f t="shared" si="0"/>
        <v>0</v>
      </c>
    </row>
    <row r="21" spans="1:13" ht="12" customHeight="1">
      <c r="A21" s="6"/>
      <c r="B21" s="122">
        <v>211100</v>
      </c>
      <c r="C21" s="6"/>
      <c r="D21" s="6"/>
      <c r="E21" s="16" t="s">
        <v>286</v>
      </c>
      <c r="F21" s="23">
        <f>VLOOKUP(B21,'BS'!$B$2:$P$214,15,FALSE)</f>
        <v>0</v>
      </c>
      <c r="I21" s="6"/>
      <c r="K21" s="122">
        <v>211100</v>
      </c>
      <c r="M21">
        <f t="shared" si="0"/>
        <v>0</v>
      </c>
    </row>
    <row r="22" spans="1:13" ht="12" customHeight="1">
      <c r="A22" s="6"/>
      <c r="B22" s="122">
        <v>211200</v>
      </c>
      <c r="C22" s="6"/>
      <c r="D22" s="6"/>
      <c r="E22" s="16" t="s">
        <v>287</v>
      </c>
      <c r="F22" s="23">
        <f>VLOOKUP(B22,'BS'!$B$2:$P$214,15,FALSE)</f>
        <v>0</v>
      </c>
      <c r="I22" s="6"/>
      <c r="K22" s="122">
        <v>211200</v>
      </c>
      <c r="M22">
        <f t="shared" si="0"/>
        <v>0</v>
      </c>
    </row>
    <row r="23" spans="1:13" ht="12" customHeight="1">
      <c r="A23" s="6"/>
      <c r="B23" s="123">
        <v>221101</v>
      </c>
      <c r="C23" s="115"/>
      <c r="D23" s="115"/>
      <c r="E23" s="116" t="s">
        <v>289</v>
      </c>
      <c r="F23" s="23">
        <f>VLOOKUP(B23,'BS'!$B$2:$P$214,15,FALSE)</f>
        <v>0</v>
      </c>
      <c r="I23" s="6"/>
      <c r="K23" s="123">
        <v>221101</v>
      </c>
      <c r="M23">
        <f t="shared" si="0"/>
        <v>0</v>
      </c>
    </row>
    <row r="24" spans="1:13" ht="12" customHeight="1">
      <c r="A24" s="6"/>
      <c r="B24" s="122">
        <v>221103</v>
      </c>
      <c r="C24" s="6"/>
      <c r="D24" s="6"/>
      <c r="E24" s="16" t="s">
        <v>290</v>
      </c>
      <c r="F24" s="23">
        <f>VLOOKUP(B24,'BS'!$B$2:$P$214,15,FALSE)</f>
        <v>0</v>
      </c>
      <c r="I24" s="6"/>
      <c r="K24" s="122">
        <v>221103</v>
      </c>
      <c r="M24">
        <f t="shared" si="0"/>
        <v>0</v>
      </c>
    </row>
    <row r="25" spans="1:13" ht="12" customHeight="1">
      <c r="A25" s="6"/>
      <c r="B25" s="122">
        <v>221201</v>
      </c>
      <c r="C25" s="6"/>
      <c r="D25" s="6"/>
      <c r="E25" s="16" t="s">
        <v>291</v>
      </c>
      <c r="F25" s="23">
        <f>VLOOKUP(B25,'BS'!$B$2:$P$214,15,FALSE)</f>
        <v>0</v>
      </c>
      <c r="I25" s="6"/>
      <c r="K25" s="122">
        <v>221201</v>
      </c>
      <c r="M25">
        <f t="shared" si="0"/>
        <v>0</v>
      </c>
    </row>
    <row r="26" spans="1:13" ht="12" customHeight="1">
      <c r="A26" s="6"/>
      <c r="B26" s="122">
        <v>221203</v>
      </c>
      <c r="C26" s="6"/>
      <c r="D26" s="6"/>
      <c r="E26" s="16" t="s">
        <v>292</v>
      </c>
      <c r="F26" s="23">
        <f>VLOOKUP(B26,'BS'!$B$2:$P$214,15,FALSE)</f>
        <v>0</v>
      </c>
      <c r="I26" s="6"/>
      <c r="K26" s="122">
        <v>221203</v>
      </c>
      <c r="M26">
        <f t="shared" si="0"/>
        <v>0</v>
      </c>
    </row>
    <row r="27" spans="1:13" ht="12" customHeight="1">
      <c r="A27" s="6"/>
      <c r="B27" s="122">
        <v>221301</v>
      </c>
      <c r="C27" s="6"/>
      <c r="D27" s="6"/>
      <c r="E27" s="16" t="s">
        <v>293</v>
      </c>
      <c r="F27" s="23">
        <f>VLOOKUP(B27,'BS'!$B$2:$P$214,15,FALSE)</f>
        <v>0</v>
      </c>
      <c r="I27" s="6"/>
      <c r="K27" s="122">
        <v>221301</v>
      </c>
      <c r="M27">
        <f t="shared" si="0"/>
        <v>0</v>
      </c>
    </row>
    <row r="28" spans="1:13" ht="12" customHeight="1">
      <c r="A28" s="6"/>
      <c r="B28" s="123">
        <v>221303</v>
      </c>
      <c r="C28" s="115"/>
      <c r="D28" s="115"/>
      <c r="E28" s="116" t="s">
        <v>294</v>
      </c>
      <c r="F28" s="23">
        <f>VLOOKUP(B28,'BS'!$B$2:$P$214,15,FALSE)</f>
        <v>0</v>
      </c>
      <c r="I28" s="6"/>
      <c r="K28" s="123">
        <v>221303</v>
      </c>
      <c r="M28">
        <f t="shared" si="0"/>
        <v>0</v>
      </c>
    </row>
    <row r="29" spans="1:13" ht="12" customHeight="1">
      <c r="A29" s="6"/>
      <c r="B29" s="122">
        <v>261000</v>
      </c>
      <c r="C29" s="6"/>
      <c r="D29" s="6"/>
      <c r="E29" s="16" t="s">
        <v>297</v>
      </c>
      <c r="F29" s="23">
        <f>VLOOKUP(B29,'BS'!$B$2:$P$214,15,FALSE)</f>
        <v>0</v>
      </c>
      <c r="I29" s="6"/>
      <c r="K29" s="122">
        <v>261000</v>
      </c>
      <c r="M29">
        <f t="shared" si="0"/>
        <v>0</v>
      </c>
    </row>
    <row r="30" spans="1:13" ht="12" customHeight="1">
      <c r="A30" s="6"/>
      <c r="B30" s="122">
        <v>261001</v>
      </c>
      <c r="C30" s="6"/>
      <c r="D30" s="6"/>
      <c r="E30" s="16" t="s">
        <v>297</v>
      </c>
      <c r="F30" s="23">
        <f>VLOOKUP(B30,'BS'!$B$2:$P$214,15,FALSE)</f>
        <v>0</v>
      </c>
      <c r="I30" s="6"/>
      <c r="K30" s="122">
        <v>261001</v>
      </c>
      <c r="M30">
        <f t="shared" si="0"/>
        <v>0</v>
      </c>
    </row>
    <row r="31" spans="1:13" ht="12" customHeight="1">
      <c r="A31" s="6"/>
      <c r="B31" s="122">
        <v>261002</v>
      </c>
      <c r="C31" s="6"/>
      <c r="D31" s="6"/>
      <c r="E31" s="16" t="s">
        <v>298</v>
      </c>
      <c r="F31" s="23">
        <f>VLOOKUP(B31,'BS'!$B$2:$P$214,15,FALSE)</f>
        <v>0</v>
      </c>
      <c r="I31" s="6"/>
      <c r="K31" s="122">
        <v>261002</v>
      </c>
      <c r="M31">
        <f t="shared" si="0"/>
        <v>0</v>
      </c>
    </row>
    <row r="32" spans="1:13" ht="12" customHeight="1">
      <c r="A32" s="6"/>
      <c r="B32" s="122">
        <v>261003</v>
      </c>
      <c r="C32" s="6"/>
      <c r="D32" s="6"/>
      <c r="E32" s="16" t="s">
        <v>299</v>
      </c>
      <c r="F32" s="23">
        <f>VLOOKUP(B32,'BS'!$B$2:$P$214,15,FALSE)</f>
        <v>0</v>
      </c>
      <c r="I32" s="6"/>
      <c r="K32" s="122">
        <v>261003</v>
      </c>
      <c r="M32">
        <f t="shared" si="0"/>
        <v>0</v>
      </c>
    </row>
    <row r="33" spans="1:13" ht="12" customHeight="1">
      <c r="A33" s="6"/>
      <c r="B33" s="122">
        <v>311100</v>
      </c>
      <c r="C33" s="6"/>
      <c r="D33" s="6"/>
      <c r="E33" s="16" t="s">
        <v>303</v>
      </c>
      <c r="F33" s="23">
        <f>VLOOKUP(B33,'BS'!$B$2:$P$214,15,FALSE)</f>
        <v>0</v>
      </c>
      <c r="I33" s="6"/>
      <c r="K33" s="122">
        <v>311100</v>
      </c>
      <c r="M33">
        <f t="shared" si="0"/>
        <v>0</v>
      </c>
    </row>
    <row r="34" spans="1:13" ht="12" customHeight="1">
      <c r="A34" s="6"/>
      <c r="B34" s="122">
        <v>311200</v>
      </c>
      <c r="C34" s="6"/>
      <c r="D34" s="6"/>
      <c r="E34" s="16" t="s">
        <v>304</v>
      </c>
      <c r="F34" s="23">
        <f>VLOOKUP(B34,'BS'!$B$2:$P$214,15,FALSE)</f>
        <v>0</v>
      </c>
      <c r="I34" s="6"/>
      <c r="K34" s="122">
        <v>311200</v>
      </c>
      <c r="M34">
        <f t="shared" si="0"/>
        <v>0</v>
      </c>
    </row>
    <row r="35" spans="1:13" ht="12" customHeight="1">
      <c r="A35" s="6"/>
      <c r="B35" s="122">
        <v>311300</v>
      </c>
      <c r="C35" s="6"/>
      <c r="D35" s="6"/>
      <c r="E35" s="16" t="s">
        <v>305</v>
      </c>
      <c r="F35" s="23">
        <f>VLOOKUP(B35,'BS'!$B$2:$P$214,15,FALSE)</f>
        <v>0</v>
      </c>
      <c r="I35" s="6"/>
      <c r="K35" s="122">
        <v>311300</v>
      </c>
      <c r="M35">
        <f t="shared" si="0"/>
        <v>0</v>
      </c>
    </row>
    <row r="36" spans="1:13" ht="12" customHeight="1">
      <c r="A36" s="6"/>
      <c r="B36" s="122">
        <v>314100</v>
      </c>
      <c r="C36" s="6"/>
      <c r="D36" s="6"/>
      <c r="E36" s="16" t="s">
        <v>306</v>
      </c>
      <c r="F36" s="23">
        <f>VLOOKUP(B36,'BS'!$B$2:$P$214,15,FALSE)</f>
        <v>0</v>
      </c>
      <c r="I36" s="6"/>
      <c r="K36" s="122">
        <v>314100</v>
      </c>
      <c r="M36">
        <f t="shared" si="0"/>
        <v>0</v>
      </c>
    </row>
    <row r="37" spans="1:13" ht="12" customHeight="1">
      <c r="A37" s="6"/>
      <c r="B37" s="122">
        <v>314200</v>
      </c>
      <c r="C37" s="6"/>
      <c r="D37" s="6"/>
      <c r="E37" s="16" t="s">
        <v>307</v>
      </c>
      <c r="F37" s="23">
        <f>VLOOKUP(B37,'BS'!$B$2:$P$214,15,FALSE)</f>
        <v>0</v>
      </c>
      <c r="I37" s="6"/>
      <c r="K37" s="122">
        <v>314200</v>
      </c>
      <c r="M37">
        <f t="shared" si="0"/>
        <v>0</v>
      </c>
    </row>
    <row r="38" spans="1:13" ht="12" customHeight="1">
      <c r="A38" s="6"/>
      <c r="B38" s="122">
        <v>316200</v>
      </c>
      <c r="C38" s="6"/>
      <c r="D38" s="6"/>
      <c r="E38" s="16" t="s">
        <v>308</v>
      </c>
      <c r="F38" s="23">
        <f>VLOOKUP(B38,'BS'!$B$2:$P$214,15,FALSE)</f>
        <v>0</v>
      </c>
      <c r="I38" s="6"/>
      <c r="K38" s="122">
        <v>316200</v>
      </c>
      <c r="M38">
        <f t="shared" si="0"/>
        <v>0</v>
      </c>
    </row>
    <row r="39" spans="1:13" ht="12" customHeight="1">
      <c r="A39" s="6"/>
      <c r="B39" s="122">
        <v>341100</v>
      </c>
      <c r="C39" s="6"/>
      <c r="D39" s="6"/>
      <c r="E39" s="16" t="s">
        <v>659</v>
      </c>
      <c r="F39" s="114">
        <f>VLOOKUP(B39,'BS'!$B$2:$P$214,15,FALSE)</f>
        <v>4581740.67</v>
      </c>
      <c r="I39" s="6"/>
      <c r="K39" s="122">
        <v>341100</v>
      </c>
      <c r="M39">
        <f t="shared" si="0"/>
        <v>0</v>
      </c>
    </row>
    <row r="40" spans="1:13" ht="12" customHeight="1">
      <c r="A40" s="6"/>
      <c r="B40" s="122">
        <v>341200</v>
      </c>
      <c r="C40" s="6"/>
      <c r="D40" s="6"/>
      <c r="E40" s="137" t="s">
        <v>660</v>
      </c>
      <c r="F40" s="114">
        <f>VLOOKUP(B40,'BS'!$B$2:$P$214,15,FALSE)</f>
        <v>0</v>
      </c>
      <c r="I40" s="6"/>
      <c r="K40" s="122">
        <v>341200</v>
      </c>
      <c r="M40">
        <f t="shared" si="0"/>
        <v>0</v>
      </c>
    </row>
    <row r="41" spans="1:13" ht="12" customHeight="1">
      <c r="A41" s="6"/>
      <c r="B41" s="122">
        <v>341400</v>
      </c>
      <c r="C41" s="6"/>
      <c r="D41" s="6"/>
      <c r="E41" s="137" t="s">
        <v>661</v>
      </c>
      <c r="F41" s="114">
        <f>VLOOKUP(B41,'BS'!$B$2:$P$214,15,FALSE)</f>
        <v>191976.9</v>
      </c>
      <c r="I41" s="6"/>
      <c r="K41" s="122">
        <v>341400</v>
      </c>
      <c r="M41">
        <f t="shared" si="0"/>
        <v>0</v>
      </c>
    </row>
    <row r="42" spans="1:13" ht="12" customHeight="1">
      <c r="A42" s="6"/>
      <c r="B42" s="122">
        <v>341500</v>
      </c>
      <c r="C42" s="6"/>
      <c r="D42" s="6"/>
      <c r="E42" s="16" t="s">
        <v>662</v>
      </c>
      <c r="F42" s="114">
        <f>VLOOKUP(B42,'BS'!$B$2:$P$214,15,FALSE)</f>
        <v>0</v>
      </c>
      <c r="I42" s="6"/>
      <c r="K42" s="122">
        <v>344100</v>
      </c>
      <c r="M42">
        <f t="shared" si="0"/>
        <v>-2600</v>
      </c>
    </row>
    <row r="43" spans="1:11" ht="12" customHeight="1">
      <c r="A43" s="115"/>
      <c r="B43" s="123">
        <v>344100</v>
      </c>
      <c r="C43" s="115"/>
      <c r="D43" s="115"/>
      <c r="E43" s="123" t="s">
        <v>662</v>
      </c>
      <c r="F43" s="114">
        <f>VLOOKUP(B43,'BS'!$B$2:$P$214,15,FALSE)</f>
        <v>6819</v>
      </c>
      <c r="I43" s="115"/>
      <c r="K43" s="123"/>
    </row>
    <row r="44" spans="1:13" ht="12" customHeight="1">
      <c r="A44" s="6"/>
      <c r="B44" s="123">
        <v>351001</v>
      </c>
      <c r="C44" s="115"/>
      <c r="D44" s="115"/>
      <c r="E44" s="123" t="s">
        <v>663</v>
      </c>
      <c r="F44" s="114">
        <f>VLOOKUP(B44,'BS'!$B$2:$P$214,15,FALSE)</f>
        <v>0</v>
      </c>
      <c r="I44" s="6"/>
      <c r="K44" s="122">
        <v>351001</v>
      </c>
      <c r="M44">
        <f t="shared" si="0"/>
        <v>0</v>
      </c>
    </row>
    <row r="45" spans="1:13" ht="12" customHeight="1">
      <c r="A45" s="6"/>
      <c r="B45" s="123" t="s">
        <v>888</v>
      </c>
      <c r="C45" s="6"/>
      <c r="D45" s="6"/>
      <c r="E45" s="16" t="s">
        <v>663</v>
      </c>
      <c r="F45" s="114">
        <f>VLOOKUP(B45,'BS'!$B$2:$P$214,15,FALSE)</f>
        <v>12396</v>
      </c>
      <c r="I45" s="6"/>
      <c r="K45" s="122">
        <v>351002</v>
      </c>
      <c r="M45">
        <f t="shared" si="0"/>
        <v>0</v>
      </c>
    </row>
    <row r="46" spans="1:13" ht="12" customHeight="1">
      <c r="A46" s="6"/>
      <c r="B46" s="123" t="s">
        <v>889</v>
      </c>
      <c r="C46" s="6"/>
      <c r="D46" s="6"/>
      <c r="E46" s="16" t="s">
        <v>757</v>
      </c>
      <c r="F46" s="114">
        <f>VLOOKUP(B46,'BS'!$B$2:$P$214,15,FALSE)</f>
        <v>174.17</v>
      </c>
      <c r="I46" s="6"/>
      <c r="K46" s="122">
        <v>351003</v>
      </c>
      <c r="M46">
        <f t="shared" si="0"/>
        <v>0</v>
      </c>
    </row>
    <row r="47" spans="1:13" ht="12" customHeight="1">
      <c r="A47" s="6"/>
      <c r="B47" s="123" t="s">
        <v>890</v>
      </c>
      <c r="C47" s="6"/>
      <c r="D47" s="6"/>
      <c r="E47" s="16" t="s">
        <v>664</v>
      </c>
      <c r="F47" s="114">
        <f>VLOOKUP(B47,'BS'!$B$2:$P$214,15,FALSE)</f>
        <v>73076.96</v>
      </c>
      <c r="I47" s="6"/>
      <c r="K47" s="122">
        <v>351004</v>
      </c>
      <c r="M47">
        <f t="shared" si="0"/>
        <v>0</v>
      </c>
    </row>
    <row r="48" spans="1:13" ht="12" customHeight="1">
      <c r="A48" s="6"/>
      <c r="B48" s="123" t="s">
        <v>891</v>
      </c>
      <c r="C48" s="6"/>
      <c r="D48" s="6"/>
      <c r="E48" s="16" t="s">
        <v>850</v>
      </c>
      <c r="F48" s="114">
        <f>VLOOKUP(B48,'BS'!$B$2:$P$214,15,FALSE)</f>
        <v>3699.24</v>
      </c>
      <c r="I48" s="6"/>
      <c r="K48" s="122">
        <v>351100</v>
      </c>
      <c r="M48">
        <f t="shared" si="0"/>
        <v>0</v>
      </c>
    </row>
    <row r="49" spans="1:13" ht="12" customHeight="1">
      <c r="A49" s="6"/>
      <c r="B49" s="123" t="s">
        <v>892</v>
      </c>
      <c r="C49" s="6"/>
      <c r="D49" s="6"/>
      <c r="E49" s="16" t="s">
        <v>665</v>
      </c>
      <c r="F49" s="114">
        <f>VLOOKUP(B49,'BS'!$B$2:$P$214,15,FALSE)</f>
        <v>55559.25</v>
      </c>
      <c r="I49" s="6"/>
      <c r="K49" s="122">
        <v>351103</v>
      </c>
      <c r="M49">
        <f t="shared" si="0"/>
        <v>0</v>
      </c>
    </row>
    <row r="50" spans="1:13" ht="12" customHeight="1">
      <c r="A50" s="6"/>
      <c r="B50" s="123">
        <v>352200</v>
      </c>
      <c r="C50" s="115"/>
      <c r="D50" s="115"/>
      <c r="E50" s="138" t="s">
        <v>667</v>
      </c>
      <c r="F50" s="23">
        <f>VLOOKUP(B50,'BS'!$B$2:$P$214,15,FALSE)</f>
        <v>0</v>
      </c>
      <c r="I50" s="6"/>
      <c r="K50" s="123">
        <v>352200</v>
      </c>
      <c r="M50">
        <f t="shared" si="0"/>
        <v>0</v>
      </c>
    </row>
    <row r="51" spans="1:13" ht="12" customHeight="1">
      <c r="A51" s="6"/>
      <c r="B51" s="122">
        <v>378005</v>
      </c>
      <c r="C51" s="6"/>
      <c r="D51" s="6"/>
      <c r="E51" s="16" t="s">
        <v>311</v>
      </c>
      <c r="F51" s="23">
        <f>VLOOKUP(B51,'BS'!$B$2:$P$214,15,FALSE)</f>
        <v>0</v>
      </c>
      <c r="I51" s="6"/>
      <c r="K51" s="122">
        <v>378005</v>
      </c>
      <c r="M51">
        <f t="shared" si="0"/>
        <v>0</v>
      </c>
    </row>
    <row r="52" spans="1:13" ht="12" customHeight="1">
      <c r="A52" s="6"/>
      <c r="B52" s="123">
        <v>381000</v>
      </c>
      <c r="C52" s="115"/>
      <c r="D52" s="115"/>
      <c r="E52" s="123" t="s">
        <v>315</v>
      </c>
      <c r="F52" s="23">
        <f>VLOOKUP(B52,'BS'!$B$2:$P$214,15,FALSE)</f>
        <v>0</v>
      </c>
      <c r="I52" s="6"/>
      <c r="K52" s="122">
        <v>381000</v>
      </c>
      <c r="M52">
        <f t="shared" si="0"/>
        <v>0</v>
      </c>
    </row>
    <row r="53" spans="1:13" ht="12" customHeight="1">
      <c r="A53" s="6"/>
      <c r="B53" s="123">
        <v>381004</v>
      </c>
      <c r="C53" s="115"/>
      <c r="D53" s="115"/>
      <c r="E53" s="116" t="s">
        <v>314</v>
      </c>
      <c r="F53" s="23">
        <f>VLOOKUP(B53,'BS'!$B$2:$P$214,15,FALSE)</f>
        <v>0</v>
      </c>
      <c r="I53" s="6"/>
      <c r="K53" s="122">
        <v>381004</v>
      </c>
      <c r="M53">
        <f t="shared" si="0"/>
        <v>0</v>
      </c>
    </row>
    <row r="54" spans="1:13" ht="12" customHeight="1">
      <c r="A54" s="6"/>
      <c r="B54" s="123">
        <v>381100</v>
      </c>
      <c r="C54" s="115"/>
      <c r="D54" s="115"/>
      <c r="E54" s="116" t="s">
        <v>315</v>
      </c>
      <c r="F54" s="23">
        <f>VLOOKUP(B54,'BS'!$B$2:$P$214,15,FALSE)</f>
        <v>0</v>
      </c>
      <c r="I54" s="6"/>
      <c r="K54" s="122">
        <v>381100</v>
      </c>
      <c r="M54">
        <f t="shared" si="0"/>
        <v>0</v>
      </c>
    </row>
    <row r="55" spans="1:13" ht="12" customHeight="1">
      <c r="A55" s="6"/>
      <c r="B55" s="122">
        <v>385100</v>
      </c>
      <c r="C55" s="6"/>
      <c r="D55" s="6"/>
      <c r="E55" s="16" t="s">
        <v>316</v>
      </c>
      <c r="F55" s="23">
        <f>VLOOKUP(B55,'BS'!$B$2:$P$214,15,FALSE)</f>
        <v>0</v>
      </c>
      <c r="I55" s="6"/>
      <c r="K55" s="122">
        <v>385100</v>
      </c>
      <c r="M55">
        <f t="shared" si="0"/>
        <v>0</v>
      </c>
    </row>
    <row r="56" spans="1:13" ht="12" customHeight="1">
      <c r="A56" s="6"/>
      <c r="B56" s="122">
        <v>385200</v>
      </c>
      <c r="C56" s="6"/>
      <c r="D56" s="6"/>
      <c r="E56" s="16" t="s">
        <v>317</v>
      </c>
      <c r="F56" s="23">
        <f>VLOOKUP(B56,'BS'!$B$2:$P$214,15,FALSE)</f>
        <v>0</v>
      </c>
      <c r="I56" s="6"/>
      <c r="K56" s="122">
        <v>385200</v>
      </c>
      <c r="M56">
        <f t="shared" si="0"/>
        <v>0</v>
      </c>
    </row>
    <row r="57" spans="1:13" ht="12" customHeight="1">
      <c r="A57" s="6"/>
      <c r="B57" s="122">
        <v>388200</v>
      </c>
      <c r="C57" s="6"/>
      <c r="D57" s="6"/>
      <c r="E57" s="16" t="s">
        <v>318</v>
      </c>
      <c r="F57" s="23">
        <f>VLOOKUP(B57,'BS'!$B$2:$P$214,15,FALSE)</f>
        <v>0</v>
      </c>
      <c r="I57" s="6"/>
      <c r="K57" s="122">
        <v>388200</v>
      </c>
      <c r="M57">
        <f t="shared" si="0"/>
        <v>0</v>
      </c>
    </row>
    <row r="58" spans="1:13" ht="12" customHeight="1">
      <c r="A58" s="6"/>
      <c r="B58" s="122">
        <v>388400</v>
      </c>
      <c r="C58" s="6"/>
      <c r="D58" s="6"/>
      <c r="E58" s="16" t="s">
        <v>319</v>
      </c>
      <c r="F58" s="23">
        <f>VLOOKUP(B58,'BS'!$B$2:$P$214,15,FALSE)</f>
        <v>0</v>
      </c>
      <c r="I58" s="6"/>
      <c r="K58" s="122">
        <v>388400</v>
      </c>
      <c r="M58">
        <f t="shared" si="0"/>
        <v>0</v>
      </c>
    </row>
    <row r="59" spans="1:13" ht="12" customHeight="1">
      <c r="A59" s="6"/>
      <c r="B59" s="122">
        <v>431001</v>
      </c>
      <c r="C59" s="6"/>
      <c r="D59" s="6"/>
      <c r="E59" s="16" t="s">
        <v>670</v>
      </c>
      <c r="F59" s="114">
        <f>VLOOKUP(B59,'BS'!$B$2:$P$214,15,FALSE)</f>
        <v>706281.56</v>
      </c>
      <c r="I59" s="6"/>
      <c r="K59" s="122">
        <v>431001</v>
      </c>
      <c r="M59">
        <f t="shared" si="0"/>
        <v>0</v>
      </c>
    </row>
    <row r="60" spans="1:13" ht="12" customHeight="1">
      <c r="A60" s="6"/>
      <c r="B60" s="122">
        <v>431100</v>
      </c>
      <c r="C60" s="6"/>
      <c r="D60" s="6"/>
      <c r="E60" s="16" t="s">
        <v>671</v>
      </c>
      <c r="F60" s="114">
        <f>VLOOKUP(B60,'BS'!$B$2:$P$214,15,FALSE)</f>
        <v>7639570.87</v>
      </c>
      <c r="I60" s="6"/>
      <c r="K60" s="122">
        <v>431100</v>
      </c>
      <c r="M60">
        <f t="shared" si="0"/>
        <v>0</v>
      </c>
    </row>
    <row r="61" spans="1:13" ht="12" customHeight="1">
      <c r="A61" s="6"/>
      <c r="B61" s="122">
        <v>432000</v>
      </c>
      <c r="C61" s="6"/>
      <c r="D61" s="6"/>
      <c r="E61" s="16" t="s">
        <v>672</v>
      </c>
      <c r="F61" s="114">
        <f>VLOOKUP(B61,'BS'!$B$2:$P$214,15,FALSE)</f>
        <v>59000</v>
      </c>
      <c r="I61" s="6"/>
      <c r="K61" s="122">
        <v>432000</v>
      </c>
      <c r="M61">
        <f t="shared" si="0"/>
        <v>0</v>
      </c>
    </row>
    <row r="62" spans="1:13" ht="12" customHeight="1">
      <c r="A62" s="6"/>
      <c r="B62" s="122">
        <v>438100</v>
      </c>
      <c r="C62" s="6"/>
      <c r="D62" s="6"/>
      <c r="E62" s="16" t="s">
        <v>673</v>
      </c>
      <c r="F62" s="114">
        <f>VLOOKUP(B62,'BS'!$B$2:$P$214,15,FALSE)</f>
        <v>-6381694.84</v>
      </c>
      <c r="I62" s="6"/>
      <c r="K62" s="122">
        <v>438100</v>
      </c>
      <c r="M62">
        <f t="shared" si="0"/>
        <v>0</v>
      </c>
    </row>
    <row r="63" spans="1:13" ht="12.75">
      <c r="A63" s="6"/>
      <c r="B63" s="122">
        <v>438200</v>
      </c>
      <c r="C63" s="6"/>
      <c r="D63" s="6"/>
      <c r="E63" s="16" t="s">
        <v>673</v>
      </c>
      <c r="F63" s="114">
        <f>VLOOKUP(B63,'BS'!$B$2:$P$214,15,FALSE)</f>
        <v>-633645.78</v>
      </c>
      <c r="G63" s="23">
        <f>SUM(F5:F67)</f>
        <v>14485166.380000005</v>
      </c>
      <c r="I63" s="6"/>
      <c r="K63" s="122">
        <v>438200</v>
      </c>
      <c r="M63">
        <f t="shared" si="0"/>
        <v>0</v>
      </c>
    </row>
    <row r="64" spans="1:13" ht="12" customHeight="1">
      <c r="A64" s="6"/>
      <c r="B64" s="122">
        <v>441000</v>
      </c>
      <c r="C64" s="6"/>
      <c r="D64" s="6"/>
      <c r="E64" s="16" t="s">
        <v>674</v>
      </c>
      <c r="F64" s="23">
        <f>VLOOKUP(B64,'BS'!$B$2:$P$214,15,FALSE)</f>
        <v>0</v>
      </c>
      <c r="G64" s="23">
        <f>'BS'!P118</f>
        <v>14485166.38</v>
      </c>
      <c r="I64" s="6"/>
      <c r="K64" s="122">
        <v>441000</v>
      </c>
      <c r="M64">
        <f t="shared" si="0"/>
        <v>0</v>
      </c>
    </row>
    <row r="65" spans="1:13" ht="12" customHeight="1">
      <c r="A65" s="6"/>
      <c r="B65" s="123">
        <v>445000</v>
      </c>
      <c r="C65" s="115"/>
      <c r="D65" s="115"/>
      <c r="E65" s="123" t="s">
        <v>963</v>
      </c>
      <c r="F65" s="23">
        <f>VLOOKUP(B65,'BS'!$B$2:$P$214,15,FALSE)</f>
        <v>46500</v>
      </c>
      <c r="G65" s="23"/>
      <c r="I65" s="6"/>
      <c r="K65" s="122">
        <v>445000</v>
      </c>
      <c r="M65">
        <f t="shared" si="0"/>
        <v>0</v>
      </c>
    </row>
    <row r="66" spans="1:13" ht="12" customHeight="1">
      <c r="A66" s="6"/>
      <c r="B66" s="122">
        <v>474200</v>
      </c>
      <c r="C66" s="6"/>
      <c r="D66" s="6"/>
      <c r="E66" s="16" t="s">
        <v>676</v>
      </c>
      <c r="F66" s="114">
        <f>VLOOKUP(B66,'BS'!$B$2:$P$214,15,FALSE)</f>
        <v>3392788</v>
      </c>
      <c r="I66" s="6"/>
      <c r="K66" s="123">
        <v>474200</v>
      </c>
      <c r="M66">
        <f t="shared" si="0"/>
        <v>0</v>
      </c>
    </row>
    <row r="67" spans="1:13" ht="12" customHeight="1">
      <c r="A67" s="6"/>
      <c r="B67" s="122">
        <v>478100</v>
      </c>
      <c r="C67" s="6"/>
      <c r="D67" s="6"/>
      <c r="E67" s="16" t="s">
        <v>677</v>
      </c>
      <c r="F67" s="114">
        <f>VLOOKUP(B67,'BS'!$B$2:$P$214,15,FALSE)</f>
        <v>-1728444</v>
      </c>
      <c r="G67" s="23">
        <f>G63-F111-F104</f>
        <v>14353531.590000005</v>
      </c>
      <c r="I67" s="6"/>
      <c r="K67" s="122">
        <v>478100</v>
      </c>
      <c r="M67">
        <f t="shared" si="0"/>
        <v>0</v>
      </c>
    </row>
    <row r="68" spans="1:13" ht="12" customHeight="1" thickBot="1">
      <c r="A68" s="6"/>
      <c r="B68" s="122"/>
      <c r="C68" s="6"/>
      <c r="D68" s="6"/>
      <c r="E68" s="16"/>
      <c r="I68" s="6"/>
      <c r="K68" s="133"/>
      <c r="M68">
        <f aca="true" t="shared" si="1" ref="M68:M101">B68-K68</f>
        <v>0</v>
      </c>
    </row>
    <row r="69" spans="1:13" ht="12" customHeight="1" thickBot="1" thickTop="1">
      <c r="A69" s="6"/>
      <c r="B69" s="122"/>
      <c r="C69" s="6"/>
      <c r="D69" s="6"/>
      <c r="E69" s="16"/>
      <c r="I69" s="6"/>
      <c r="K69" s="133"/>
      <c r="M69">
        <f t="shared" si="1"/>
        <v>0</v>
      </c>
    </row>
    <row r="70" spans="1:13" ht="12" customHeight="1" thickBot="1" thickTop="1">
      <c r="A70" s="6"/>
      <c r="B70" s="118" t="s">
        <v>324</v>
      </c>
      <c r="C70" s="6"/>
      <c r="D70" s="6"/>
      <c r="E70" s="6"/>
      <c r="I70" s="6"/>
      <c r="K70" s="133"/>
      <c r="M70" t="e">
        <f t="shared" si="1"/>
        <v>#VALUE!</v>
      </c>
    </row>
    <row r="71" spans="1:13" ht="12" customHeight="1" thickTop="1">
      <c r="A71" s="6"/>
      <c r="B71" s="122">
        <v>137000</v>
      </c>
      <c r="C71" s="6"/>
      <c r="D71" s="6"/>
      <c r="E71" s="16" t="s">
        <v>680</v>
      </c>
      <c r="F71" s="23">
        <f>VLOOKUP(B71,'BS'!$B$2:$P$214,15,FALSE)</f>
        <v>834839.14</v>
      </c>
      <c r="I71" s="6"/>
      <c r="K71" s="122">
        <v>137000</v>
      </c>
      <c r="M71">
        <f t="shared" si="1"/>
        <v>0</v>
      </c>
    </row>
    <row r="72" spans="1:13" ht="12" customHeight="1">
      <c r="A72" s="6"/>
      <c r="B72" s="122">
        <v>321100</v>
      </c>
      <c r="C72" s="6"/>
      <c r="D72" s="6"/>
      <c r="E72" s="16" t="s">
        <v>325</v>
      </c>
      <c r="F72" s="23">
        <f>VLOOKUP(B72,'BS'!$B$2:$P$214,15,FALSE)</f>
        <v>0</v>
      </c>
      <c r="I72" s="6"/>
      <c r="K72" s="122">
        <v>321100</v>
      </c>
      <c r="M72">
        <f t="shared" si="1"/>
        <v>0</v>
      </c>
    </row>
    <row r="73" spans="1:13" ht="12" customHeight="1">
      <c r="A73" s="6"/>
      <c r="B73" s="122">
        <v>321200</v>
      </c>
      <c r="C73" s="6"/>
      <c r="D73" s="6"/>
      <c r="E73" s="16" t="s">
        <v>326</v>
      </c>
      <c r="F73" s="23">
        <f>VLOOKUP(B73,'BS'!$B$2:$P$214,15,FALSE)</f>
        <v>0</v>
      </c>
      <c r="I73" s="6"/>
      <c r="K73" s="122">
        <v>321200</v>
      </c>
      <c r="M73">
        <f t="shared" si="1"/>
        <v>0</v>
      </c>
    </row>
    <row r="74" spans="1:13" ht="12" customHeight="1">
      <c r="A74" s="6"/>
      <c r="B74" s="122">
        <v>321300</v>
      </c>
      <c r="C74" s="6"/>
      <c r="D74" s="6"/>
      <c r="E74" s="16" t="s">
        <v>327</v>
      </c>
      <c r="F74" s="23">
        <f>VLOOKUP(B74,'BS'!$B$2:$P$214,15,FALSE)</f>
        <v>0</v>
      </c>
      <c r="I74" s="6"/>
      <c r="K74" s="122">
        <v>321300</v>
      </c>
      <c r="M74">
        <f t="shared" si="1"/>
        <v>0</v>
      </c>
    </row>
    <row r="75" spans="1:13" ht="12" customHeight="1">
      <c r="A75" s="6"/>
      <c r="B75" s="122">
        <v>321400</v>
      </c>
      <c r="C75" s="6"/>
      <c r="D75" s="6"/>
      <c r="E75" s="16" t="s">
        <v>328</v>
      </c>
      <c r="F75" s="23">
        <f>VLOOKUP(B75,'BS'!$B$2:$P$214,15,FALSE)</f>
        <v>0</v>
      </c>
      <c r="I75" s="6"/>
      <c r="K75" s="122">
        <v>321400</v>
      </c>
      <c r="M75">
        <f t="shared" si="1"/>
        <v>0</v>
      </c>
    </row>
    <row r="76" spans="1:13" ht="12" customHeight="1">
      <c r="A76" s="6"/>
      <c r="B76" s="122">
        <v>324200</v>
      </c>
      <c r="C76" s="6"/>
      <c r="D76" s="6"/>
      <c r="E76" s="16" t="s">
        <v>329</v>
      </c>
      <c r="F76" s="23">
        <f>VLOOKUP(B76,'BS'!$B$2:$P$214,15,FALSE)</f>
        <v>0</v>
      </c>
      <c r="I76" s="6"/>
      <c r="K76" s="122">
        <v>324200</v>
      </c>
      <c r="M76">
        <f t="shared" si="1"/>
        <v>0</v>
      </c>
    </row>
    <row r="77" spans="1:13" ht="12" customHeight="1">
      <c r="A77" s="6"/>
      <c r="B77" s="122">
        <v>324300</v>
      </c>
      <c r="C77" s="6"/>
      <c r="D77" s="6"/>
      <c r="E77" s="16" t="s">
        <v>330</v>
      </c>
      <c r="F77" s="23">
        <f>VLOOKUP(B77,'BS'!$B$2:$P$214,15,FALSE)</f>
        <v>0</v>
      </c>
      <c r="I77" s="6"/>
      <c r="K77" s="122">
        <v>324300</v>
      </c>
      <c r="M77">
        <f t="shared" si="1"/>
        <v>0</v>
      </c>
    </row>
    <row r="78" spans="1:13" ht="12" customHeight="1">
      <c r="A78" s="6"/>
      <c r="B78" s="122">
        <v>325000</v>
      </c>
      <c r="C78" s="6"/>
      <c r="D78" s="6"/>
      <c r="E78" s="16" t="s">
        <v>331</v>
      </c>
      <c r="F78" s="23">
        <f>VLOOKUP(B78,'BS'!$B$2:$P$214,15,FALSE)</f>
        <v>0</v>
      </c>
      <c r="I78" s="6"/>
      <c r="K78" s="122">
        <v>325000</v>
      </c>
      <c r="M78">
        <f t="shared" si="1"/>
        <v>0</v>
      </c>
    </row>
    <row r="79" spans="1:13" ht="12" customHeight="1">
      <c r="A79" s="6"/>
      <c r="B79" s="122">
        <v>333001</v>
      </c>
      <c r="C79" s="6"/>
      <c r="D79" s="6"/>
      <c r="E79" s="16" t="s">
        <v>334</v>
      </c>
      <c r="F79" s="23">
        <f>VLOOKUP(B79,'BS'!$B$2:$P$214,15,FALSE)</f>
        <v>0</v>
      </c>
      <c r="I79" s="6"/>
      <c r="K79" s="122">
        <v>333001</v>
      </c>
      <c r="M79">
        <f t="shared" si="1"/>
        <v>0</v>
      </c>
    </row>
    <row r="80" spans="1:13" ht="12" customHeight="1">
      <c r="A80" s="6"/>
      <c r="B80" s="122">
        <v>333002</v>
      </c>
      <c r="C80" s="6"/>
      <c r="D80" s="6"/>
      <c r="E80" s="16" t="s">
        <v>335</v>
      </c>
      <c r="F80" s="23">
        <f>VLOOKUP(B80,'BS'!$B$2:$P$214,15,FALSE)</f>
        <v>0</v>
      </c>
      <c r="I80" s="6"/>
      <c r="K80" s="122">
        <v>333002</v>
      </c>
      <c r="M80">
        <f t="shared" si="1"/>
        <v>0</v>
      </c>
    </row>
    <row r="81" spans="1:13" ht="12" customHeight="1">
      <c r="A81" s="6"/>
      <c r="B81" s="122">
        <v>333003</v>
      </c>
      <c r="C81" s="6"/>
      <c r="D81" s="6"/>
      <c r="E81" s="16" t="s">
        <v>336</v>
      </c>
      <c r="F81" s="23">
        <f>VLOOKUP(B81,'BS'!$B$2:$P$214,15,FALSE)</f>
        <v>0</v>
      </c>
      <c r="I81" s="6"/>
      <c r="K81" s="122">
        <v>333003</v>
      </c>
      <c r="M81">
        <f t="shared" si="1"/>
        <v>0</v>
      </c>
    </row>
    <row r="82" spans="1:13" ht="12" customHeight="1">
      <c r="A82" s="6"/>
      <c r="B82" s="122">
        <v>333004</v>
      </c>
      <c r="C82" s="6"/>
      <c r="D82" s="6"/>
      <c r="E82" s="16" t="s">
        <v>337</v>
      </c>
      <c r="F82" s="23">
        <f>VLOOKUP(B82,'BS'!$B$2:$P$214,15,FALSE)</f>
        <v>0</v>
      </c>
      <c r="I82" s="6"/>
      <c r="K82" s="122">
        <v>333004</v>
      </c>
      <c r="M82">
        <f t="shared" si="1"/>
        <v>0</v>
      </c>
    </row>
    <row r="83" spans="1:13" ht="12" customHeight="1">
      <c r="A83" s="6"/>
      <c r="B83" s="122">
        <v>333005</v>
      </c>
      <c r="C83" s="6"/>
      <c r="D83" s="6"/>
      <c r="E83" s="16" t="s">
        <v>338</v>
      </c>
      <c r="F83" s="23">
        <f>VLOOKUP(B83,'BS'!$B$2:$P$214,15,FALSE)</f>
        <v>0</v>
      </c>
      <c r="I83" s="6"/>
      <c r="K83" s="122">
        <v>333005</v>
      </c>
      <c r="M83">
        <f t="shared" si="1"/>
        <v>0</v>
      </c>
    </row>
    <row r="84" spans="1:13" ht="12" customHeight="1">
      <c r="A84" s="6"/>
      <c r="B84" s="122">
        <v>333007</v>
      </c>
      <c r="C84" s="6"/>
      <c r="D84" s="6"/>
      <c r="E84" s="16" t="s">
        <v>339</v>
      </c>
      <c r="F84" s="23">
        <f>VLOOKUP(B84,'BS'!$B$2:$P$214,15,FALSE)</f>
        <v>0</v>
      </c>
      <c r="I84" s="6"/>
      <c r="K84" s="122">
        <v>333007</v>
      </c>
      <c r="M84">
        <f t="shared" si="1"/>
        <v>0</v>
      </c>
    </row>
    <row r="85" spans="1:13" ht="12" customHeight="1">
      <c r="A85" s="6"/>
      <c r="B85" s="122" t="s">
        <v>863</v>
      </c>
      <c r="C85" s="6"/>
      <c r="D85" s="6"/>
      <c r="E85" s="16" t="s">
        <v>681</v>
      </c>
      <c r="F85" s="23">
        <f>VLOOKUP(B85,'BS'!$B$2:$P$214,15,FALSE)</f>
        <v>705000</v>
      </c>
      <c r="I85" s="6"/>
      <c r="K85" s="122">
        <v>342005</v>
      </c>
      <c r="M85">
        <f t="shared" si="1"/>
        <v>0</v>
      </c>
    </row>
    <row r="86" spans="1:13" ht="12" customHeight="1">
      <c r="A86" s="6"/>
      <c r="B86" s="122" t="s">
        <v>864</v>
      </c>
      <c r="C86" s="6"/>
      <c r="D86" s="6"/>
      <c r="E86" s="16" t="s">
        <v>682</v>
      </c>
      <c r="F86" s="23">
        <f>VLOOKUP(B86,'BS'!$B$2:$P$214,15,FALSE)</f>
        <v>62528</v>
      </c>
      <c r="I86" s="6"/>
      <c r="K86" s="122">
        <v>342006</v>
      </c>
      <c r="M86">
        <f t="shared" si="1"/>
        <v>0</v>
      </c>
    </row>
    <row r="87" spans="1:13" ht="12" customHeight="1">
      <c r="A87" s="6"/>
      <c r="B87" s="122" t="s">
        <v>865</v>
      </c>
      <c r="C87" s="6"/>
      <c r="D87" s="6"/>
      <c r="E87" s="16" t="s">
        <v>683</v>
      </c>
      <c r="F87" s="23">
        <f>VLOOKUP(B87,'BS'!$B$2:$P$214,15,FALSE)</f>
        <v>832184.1</v>
      </c>
      <c r="I87" s="6"/>
      <c r="K87" s="122">
        <v>342100</v>
      </c>
      <c r="M87">
        <f t="shared" si="1"/>
        <v>0</v>
      </c>
    </row>
    <row r="88" spans="1:13" ht="12" customHeight="1">
      <c r="A88" s="6"/>
      <c r="B88" s="122" t="s">
        <v>866</v>
      </c>
      <c r="C88" s="6"/>
      <c r="D88" s="6"/>
      <c r="E88" s="16" t="s">
        <v>684</v>
      </c>
      <c r="F88" s="23">
        <f>VLOOKUP(B88,'BS'!$B$2:$P$214,15,FALSE)</f>
        <v>0</v>
      </c>
      <c r="I88" s="6"/>
      <c r="K88" s="122">
        <v>342200</v>
      </c>
      <c r="M88">
        <f t="shared" si="1"/>
        <v>0</v>
      </c>
    </row>
    <row r="89" spans="1:13" ht="12" customHeight="1">
      <c r="A89" s="6"/>
      <c r="B89" s="122" t="s">
        <v>867</v>
      </c>
      <c r="C89" s="6"/>
      <c r="D89" s="6"/>
      <c r="E89" s="16" t="s">
        <v>685</v>
      </c>
      <c r="F89" s="23">
        <f>VLOOKUP(B89,'BS'!$B$2:$P$214,15,FALSE)</f>
        <v>0</v>
      </c>
      <c r="I89" s="6"/>
      <c r="K89" s="122">
        <v>342300</v>
      </c>
      <c r="M89">
        <f t="shared" si="1"/>
        <v>0</v>
      </c>
    </row>
    <row r="90" spans="1:13" ht="12" customHeight="1">
      <c r="A90" s="6"/>
      <c r="B90" s="122" t="s">
        <v>868</v>
      </c>
      <c r="C90" s="6"/>
      <c r="D90" s="6"/>
      <c r="E90" s="16" t="s">
        <v>686</v>
      </c>
      <c r="F90" s="23">
        <f>VLOOKUP(B90,'BS'!$B$2:$P$214,15,FALSE)</f>
        <v>0</v>
      </c>
      <c r="I90" s="6"/>
      <c r="K90" s="122">
        <v>342500</v>
      </c>
      <c r="M90">
        <f t="shared" si="1"/>
        <v>0</v>
      </c>
    </row>
    <row r="91" spans="1:13" ht="12" customHeight="1">
      <c r="A91" s="6"/>
      <c r="B91" s="122" t="s">
        <v>869</v>
      </c>
      <c r="C91" s="6"/>
      <c r="D91" s="6"/>
      <c r="E91" s="16" t="s">
        <v>687</v>
      </c>
      <c r="F91" s="23">
        <f>VLOOKUP(B91,'BS'!$B$2:$P$214,15,FALSE)</f>
        <v>0</v>
      </c>
      <c r="I91" s="6"/>
      <c r="K91" s="122">
        <v>342600</v>
      </c>
      <c r="M91">
        <f t="shared" si="1"/>
        <v>0</v>
      </c>
    </row>
    <row r="92" spans="1:13" ht="12" customHeight="1">
      <c r="A92" s="6"/>
      <c r="B92" s="123" t="s">
        <v>870</v>
      </c>
      <c r="C92" s="115"/>
      <c r="D92" s="115"/>
      <c r="E92" s="116" t="s">
        <v>342</v>
      </c>
      <c r="F92" s="23">
        <f>VLOOKUP(B92,'BS'!$B$2:$P$214,15,FALSE)</f>
        <v>0</v>
      </c>
      <c r="I92" s="6"/>
      <c r="K92" s="123">
        <v>343000</v>
      </c>
      <c r="M92">
        <f t="shared" si="1"/>
        <v>0</v>
      </c>
    </row>
    <row r="93" spans="1:13" ht="12" customHeight="1">
      <c r="A93" s="6"/>
      <c r="B93" s="122" t="s">
        <v>871</v>
      </c>
      <c r="C93" s="6"/>
      <c r="D93" s="6"/>
      <c r="E93" s="16" t="s">
        <v>688</v>
      </c>
      <c r="F93" s="23">
        <f>VLOOKUP(B93,'BS'!$B$2:$P$214,15,FALSE)</f>
        <v>537</v>
      </c>
      <c r="I93" s="6"/>
      <c r="K93" s="123">
        <v>343001</v>
      </c>
      <c r="M93">
        <f t="shared" si="1"/>
        <v>0</v>
      </c>
    </row>
    <row r="94" spans="1:13" ht="12" customHeight="1">
      <c r="A94" s="6"/>
      <c r="B94" s="122" t="s">
        <v>872</v>
      </c>
      <c r="C94" s="6"/>
      <c r="D94" s="6"/>
      <c r="E94" s="16" t="s">
        <v>689</v>
      </c>
      <c r="F94" s="23">
        <f>VLOOKUP(B94,'BS'!$B$2:$P$214,15,FALSE)</f>
        <v>9613.7</v>
      </c>
      <c r="I94" s="6"/>
      <c r="K94" s="122">
        <v>343002</v>
      </c>
      <c r="M94">
        <f t="shared" si="1"/>
        <v>0</v>
      </c>
    </row>
    <row r="95" spans="1:13" ht="12" customHeight="1">
      <c r="A95" s="6"/>
      <c r="B95" s="122" t="s">
        <v>873</v>
      </c>
      <c r="C95" s="6"/>
      <c r="D95" s="6"/>
      <c r="E95" s="16" t="s">
        <v>690</v>
      </c>
      <c r="F95" s="23">
        <f>VLOOKUP(B95,'BS'!$B$2:$P$214,15,FALSE)</f>
        <v>3069.5</v>
      </c>
      <c r="I95" s="6"/>
      <c r="K95" s="122">
        <v>343004</v>
      </c>
      <c r="M95">
        <f t="shared" si="1"/>
        <v>0</v>
      </c>
    </row>
    <row r="96" spans="1:13" ht="12" customHeight="1">
      <c r="A96" s="6"/>
      <c r="B96" s="123" t="s">
        <v>874</v>
      </c>
      <c r="C96" s="115"/>
      <c r="D96" s="115"/>
      <c r="E96" s="116" t="s">
        <v>343</v>
      </c>
      <c r="F96" s="23">
        <f>VLOOKUP(B96,'BS'!$B$2:$P$214,15,FALSE)</f>
        <v>0</v>
      </c>
      <c r="I96" s="6"/>
      <c r="K96" s="123">
        <v>343010</v>
      </c>
      <c r="M96">
        <f t="shared" si="1"/>
        <v>0</v>
      </c>
    </row>
    <row r="97" spans="1:13" ht="12" customHeight="1">
      <c r="A97" s="6"/>
      <c r="B97" s="122" t="s">
        <v>875</v>
      </c>
      <c r="C97" s="6"/>
      <c r="D97" s="6"/>
      <c r="E97" s="16" t="s">
        <v>344</v>
      </c>
      <c r="F97" s="23">
        <f>VLOOKUP(B97,'BS'!$B$2:$P$214,15,FALSE)</f>
        <v>0</v>
      </c>
      <c r="I97" s="6"/>
      <c r="K97" s="122">
        <v>343019</v>
      </c>
      <c r="M97">
        <f t="shared" si="1"/>
        <v>0</v>
      </c>
    </row>
    <row r="98" spans="1:13" ht="12" customHeight="1">
      <c r="A98" s="6"/>
      <c r="B98" s="122" t="s">
        <v>876</v>
      </c>
      <c r="C98" s="6"/>
      <c r="D98" s="6"/>
      <c r="E98" s="16" t="s">
        <v>344</v>
      </c>
      <c r="F98" s="23">
        <f>VLOOKUP(B98,'BS'!$B$2:$P$214,15,FALSE)</f>
        <v>0</v>
      </c>
      <c r="I98" s="6"/>
      <c r="K98" s="122">
        <v>343020</v>
      </c>
      <c r="M98">
        <f t="shared" si="1"/>
        <v>0</v>
      </c>
    </row>
    <row r="99" spans="1:13" ht="12" customHeight="1">
      <c r="A99" s="6"/>
      <c r="B99" s="123" t="s">
        <v>877</v>
      </c>
      <c r="C99" s="115"/>
      <c r="D99" s="115"/>
      <c r="E99" s="116" t="s">
        <v>691</v>
      </c>
      <c r="F99" s="23">
        <f>VLOOKUP(B99,'BS'!$B$2:$P$214,15,FALSE)</f>
        <v>29278</v>
      </c>
      <c r="I99" s="6"/>
      <c r="K99" s="122">
        <v>343100</v>
      </c>
      <c r="M99">
        <f t="shared" si="1"/>
        <v>0</v>
      </c>
    </row>
    <row r="100" spans="1:13" ht="12" customHeight="1">
      <c r="A100" s="6"/>
      <c r="B100" s="123" t="s">
        <v>896</v>
      </c>
      <c r="C100" s="115"/>
      <c r="D100" s="115"/>
      <c r="E100" s="116" t="s">
        <v>897</v>
      </c>
      <c r="F100" s="23">
        <f>VLOOKUP(B100,'BS'!$B$2:$P$214,15,FALSE)</f>
        <v>0</v>
      </c>
      <c r="I100" s="6"/>
      <c r="K100" s="123">
        <v>346000</v>
      </c>
      <c r="M100">
        <f t="shared" si="1"/>
        <v>0</v>
      </c>
    </row>
    <row r="101" spans="1:13" ht="12" customHeight="1">
      <c r="A101" s="6"/>
      <c r="B101" s="122" t="s">
        <v>878</v>
      </c>
      <c r="C101" s="6"/>
      <c r="D101" s="6"/>
      <c r="E101" s="16" t="s">
        <v>692</v>
      </c>
      <c r="F101" s="23">
        <f>VLOOKUP(B101,'BS'!$B$2:$P$214,15,FALSE)</f>
        <v>33705</v>
      </c>
      <c r="I101" s="6"/>
      <c r="K101" s="123">
        <v>346001</v>
      </c>
      <c r="M101">
        <f t="shared" si="1"/>
        <v>0</v>
      </c>
    </row>
    <row r="102" spans="1:13" ht="12" customHeight="1">
      <c r="A102" s="6"/>
      <c r="B102" s="122" t="s">
        <v>879</v>
      </c>
      <c r="C102" s="6"/>
      <c r="D102" s="6"/>
      <c r="E102" s="16" t="s">
        <v>693</v>
      </c>
      <c r="F102" s="23">
        <f>VLOOKUP(B102,'BS'!$B$2:$P$214,15,FALSE)</f>
        <v>10144</v>
      </c>
      <c r="I102" s="6"/>
      <c r="K102" s="123">
        <v>346011</v>
      </c>
      <c r="M102">
        <f aca="true" t="shared" si="2" ref="M102:M126">B102-K102</f>
        <v>0</v>
      </c>
    </row>
    <row r="103" spans="1:13" ht="12" customHeight="1">
      <c r="A103" s="6"/>
      <c r="B103" s="123" t="s">
        <v>880</v>
      </c>
      <c r="C103" s="115"/>
      <c r="D103" s="115"/>
      <c r="E103" s="116" t="s">
        <v>694</v>
      </c>
      <c r="F103" s="23">
        <f>VLOOKUP(B103,'BS'!$B$2:$P$214,15,FALSE)</f>
        <v>4394</v>
      </c>
      <c r="I103" s="6"/>
      <c r="K103" s="122">
        <v>346012</v>
      </c>
      <c r="M103">
        <f t="shared" si="2"/>
        <v>0</v>
      </c>
    </row>
    <row r="104" spans="1:13" ht="12" customHeight="1">
      <c r="A104" s="6"/>
      <c r="B104" s="122" t="s">
        <v>881</v>
      </c>
      <c r="C104" s="6"/>
      <c r="D104" s="6"/>
      <c r="E104" s="16" t="s">
        <v>695</v>
      </c>
      <c r="F104" s="23">
        <f>VLOOKUP(B104,'BS'!$B$2:$P$214,15,FALSE)</f>
        <v>0</v>
      </c>
      <c r="I104" s="6"/>
      <c r="K104" s="122">
        <v>346015</v>
      </c>
      <c r="M104">
        <f t="shared" si="2"/>
        <v>0</v>
      </c>
    </row>
    <row r="105" spans="1:13" ht="12" customHeight="1" thickBot="1">
      <c r="A105" s="6"/>
      <c r="B105" s="122" t="s">
        <v>882</v>
      </c>
      <c r="C105" s="6"/>
      <c r="D105" s="6"/>
      <c r="E105" s="16" t="s">
        <v>696</v>
      </c>
      <c r="F105" s="176">
        <f>VLOOKUP(B105,'BS'!$B$2:$P$214,15,FALSE)</f>
        <v>304300</v>
      </c>
      <c r="I105" s="6"/>
      <c r="K105" s="133">
        <v>347000</v>
      </c>
      <c r="M105">
        <f t="shared" si="2"/>
        <v>0</v>
      </c>
    </row>
    <row r="106" spans="1:13" ht="12" customHeight="1" thickTop="1">
      <c r="A106" s="6"/>
      <c r="B106" s="122" t="s">
        <v>883</v>
      </c>
      <c r="C106" s="6"/>
      <c r="D106" s="6"/>
      <c r="E106" s="16" t="s">
        <v>697</v>
      </c>
      <c r="F106" s="23">
        <f>VLOOKUP(B106,'BS'!$B$2:$P$214,15,FALSE)</f>
        <v>-125.45</v>
      </c>
      <c r="G106" s="23">
        <f>SUM(F71:F112)</f>
        <v>2990312.4000000004</v>
      </c>
      <c r="I106" s="6"/>
      <c r="K106" s="134">
        <v>347010</v>
      </c>
      <c r="M106">
        <f t="shared" si="2"/>
        <v>0</v>
      </c>
    </row>
    <row r="107" spans="1:13" ht="12" customHeight="1">
      <c r="A107" s="6"/>
      <c r="B107" s="122" t="s">
        <v>884</v>
      </c>
      <c r="C107" s="6"/>
      <c r="D107" s="6"/>
      <c r="E107" s="16" t="s">
        <v>698</v>
      </c>
      <c r="F107" s="114">
        <f>VLOOKUP(B107,'BS'!$B$2:$P$214,15,FALSE)</f>
        <v>-87645.76</v>
      </c>
      <c r="I107" s="6"/>
      <c r="K107" s="122">
        <v>347020</v>
      </c>
      <c r="M107">
        <f t="shared" si="2"/>
        <v>0</v>
      </c>
    </row>
    <row r="108" spans="1:13" ht="12" customHeight="1">
      <c r="A108" s="6"/>
      <c r="B108" s="123">
        <v>347030</v>
      </c>
      <c r="C108" s="115"/>
      <c r="D108" s="115"/>
      <c r="E108" s="123" t="s">
        <v>965</v>
      </c>
      <c r="F108" s="114">
        <f>'BS'!P174</f>
        <v>-26</v>
      </c>
      <c r="G108" s="23"/>
      <c r="I108" s="6"/>
      <c r="K108" s="122">
        <v>347030</v>
      </c>
      <c r="M108">
        <f t="shared" si="2"/>
        <v>0</v>
      </c>
    </row>
    <row r="109" spans="1:13" ht="12" customHeight="1" thickBot="1">
      <c r="A109" s="6"/>
      <c r="B109" s="122" t="s">
        <v>885</v>
      </c>
      <c r="C109" s="6"/>
      <c r="D109" s="6"/>
      <c r="E109" s="16" t="s">
        <v>699</v>
      </c>
      <c r="F109" s="23">
        <f>VLOOKUP(B109,'BS'!$B$2:$P$214,15,FALSE)</f>
        <v>112861.38</v>
      </c>
      <c r="I109" s="6"/>
      <c r="K109" s="135">
        <v>347100</v>
      </c>
      <c r="M109">
        <f t="shared" si="2"/>
        <v>0</v>
      </c>
    </row>
    <row r="110" spans="1:13" ht="12" customHeight="1">
      <c r="A110" s="6"/>
      <c r="B110" s="122" t="s">
        <v>886</v>
      </c>
      <c r="C110" s="6"/>
      <c r="D110" s="6"/>
      <c r="E110" s="16" t="s">
        <v>700</v>
      </c>
      <c r="F110" s="23">
        <f>VLOOKUP(B110,'BS'!$B$2:$P$214,15,FALSE)</f>
        <v>4021</v>
      </c>
      <c r="I110" s="6"/>
      <c r="K110" s="124">
        <v>347111</v>
      </c>
      <c r="M110">
        <f t="shared" si="2"/>
        <v>0</v>
      </c>
    </row>
    <row r="111" spans="1:13" ht="12" customHeight="1">
      <c r="A111" s="6"/>
      <c r="B111" s="122" t="s">
        <v>887</v>
      </c>
      <c r="C111" s="6"/>
      <c r="D111" s="6"/>
      <c r="E111" s="16" t="s">
        <v>701</v>
      </c>
      <c r="F111" s="176">
        <f>VLOOKUP(B111,'BS'!$B$2:$P$214,15,FALSE)</f>
        <v>131634.79</v>
      </c>
      <c r="I111" s="6"/>
      <c r="K111" s="122">
        <v>348000</v>
      </c>
      <c r="M111">
        <f t="shared" si="2"/>
        <v>0</v>
      </c>
    </row>
    <row r="112" spans="1:13" ht="12" customHeight="1">
      <c r="A112" s="6"/>
      <c r="B112" s="122" t="s">
        <v>893</v>
      </c>
      <c r="C112" s="6"/>
      <c r="D112" s="6"/>
      <c r="E112" s="16" t="s">
        <v>846</v>
      </c>
      <c r="F112" s="23">
        <f>VLOOKUP(B112,'BS'!$B$2:$P$214,15,FALSE)</f>
        <v>0</v>
      </c>
      <c r="I112" s="6"/>
      <c r="K112" s="122">
        <v>354100</v>
      </c>
      <c r="M112">
        <f t="shared" si="2"/>
        <v>0</v>
      </c>
    </row>
    <row r="113" spans="1:13" ht="12" customHeight="1">
      <c r="A113" s="6"/>
      <c r="B113" s="122" t="s">
        <v>894</v>
      </c>
      <c r="C113" s="6"/>
      <c r="D113" s="6"/>
      <c r="E113" s="16" t="s">
        <v>702</v>
      </c>
      <c r="F113" s="23">
        <f>VLOOKUP(B113,'BS'!$B$2:$P$214,15,FALSE)</f>
        <v>0</v>
      </c>
      <c r="I113" s="6"/>
      <c r="K113" s="122">
        <v>355100</v>
      </c>
      <c r="M113">
        <f t="shared" si="2"/>
        <v>0</v>
      </c>
    </row>
    <row r="114" spans="1:13" ht="12" customHeight="1">
      <c r="A114" s="6"/>
      <c r="B114" s="123">
        <v>355300</v>
      </c>
      <c r="C114" s="115"/>
      <c r="D114" s="115"/>
      <c r="E114" s="123" t="s">
        <v>703</v>
      </c>
      <c r="F114" s="114">
        <f>'BS'!P182</f>
        <v>0</v>
      </c>
      <c r="I114" s="6"/>
      <c r="K114" s="122">
        <v>355300</v>
      </c>
      <c r="M114">
        <f t="shared" si="2"/>
        <v>0</v>
      </c>
    </row>
    <row r="115" spans="1:13" ht="12" customHeight="1">
      <c r="A115" s="6"/>
      <c r="B115" s="122" t="s">
        <v>895</v>
      </c>
      <c r="C115" s="6"/>
      <c r="D115" s="6"/>
      <c r="E115" s="138" t="s">
        <v>703</v>
      </c>
      <c r="F115" s="23">
        <f>VLOOKUP(B115,'BS'!$B$2:$P$214,15,FALSE)</f>
        <v>0</v>
      </c>
      <c r="I115" s="6"/>
      <c r="K115" s="122">
        <v>355400</v>
      </c>
      <c r="M115">
        <f t="shared" si="2"/>
        <v>0</v>
      </c>
    </row>
    <row r="116" spans="1:13" ht="12" customHeight="1">
      <c r="A116" s="6"/>
      <c r="B116" s="122">
        <v>379005</v>
      </c>
      <c r="C116" s="6"/>
      <c r="D116" s="6"/>
      <c r="E116" s="16" t="s">
        <v>347</v>
      </c>
      <c r="F116" s="23">
        <f>VLOOKUP(B116,'BS'!$B$2:$P$214,15,FALSE)</f>
        <v>0</v>
      </c>
      <c r="I116" s="6"/>
      <c r="K116" s="123">
        <v>379005</v>
      </c>
      <c r="M116">
        <f t="shared" si="2"/>
        <v>0</v>
      </c>
    </row>
    <row r="117" spans="1:13" ht="12" customHeight="1">
      <c r="A117" s="6"/>
      <c r="B117" s="122">
        <v>383100</v>
      </c>
      <c r="C117" s="6"/>
      <c r="D117" s="6"/>
      <c r="E117" s="16" t="s">
        <v>348</v>
      </c>
      <c r="F117" s="23">
        <f>VLOOKUP(B117,'BS'!$B$2:$P$214,15,FALSE)</f>
        <v>0</v>
      </c>
      <c r="I117" s="6"/>
      <c r="K117" s="122">
        <v>383100</v>
      </c>
      <c r="M117">
        <f t="shared" si="2"/>
        <v>0</v>
      </c>
    </row>
    <row r="118" spans="1:13" ht="12" customHeight="1">
      <c r="A118" s="6"/>
      <c r="B118" s="122">
        <v>383200</v>
      </c>
      <c r="C118" s="6"/>
      <c r="D118" s="6"/>
      <c r="E118" s="16" t="s">
        <v>349</v>
      </c>
      <c r="F118" s="23">
        <f>VLOOKUP(B118,'BS'!$B$2:$P$214,15,FALSE)</f>
        <v>0</v>
      </c>
      <c r="I118" s="6"/>
      <c r="K118" s="122">
        <v>383200</v>
      </c>
      <c r="M118">
        <f t="shared" si="2"/>
        <v>0</v>
      </c>
    </row>
    <row r="119" spans="1:13" ht="12" customHeight="1">
      <c r="A119" s="6"/>
      <c r="B119" s="122">
        <v>383400</v>
      </c>
      <c r="C119" s="6"/>
      <c r="D119" s="6"/>
      <c r="E119" s="16" t="s">
        <v>350</v>
      </c>
      <c r="F119" s="23">
        <f>VLOOKUP(B119,'BS'!$B$2:$P$214,15,FALSE)</f>
        <v>0</v>
      </c>
      <c r="I119" s="6"/>
      <c r="K119" s="122">
        <v>383400</v>
      </c>
      <c r="M119">
        <f t="shared" si="2"/>
        <v>0</v>
      </c>
    </row>
    <row r="120" spans="1:13" ht="16.5" customHeight="1">
      <c r="A120" s="6"/>
      <c r="B120" s="122">
        <v>389300</v>
      </c>
      <c r="C120" s="6"/>
      <c r="D120" s="6"/>
      <c r="E120" s="16" t="s">
        <v>351</v>
      </c>
      <c r="F120" s="23">
        <f>VLOOKUP(B120,'BS'!$B$2:$P$214,15,FALSE)</f>
        <v>0</v>
      </c>
      <c r="I120" s="6"/>
      <c r="K120" s="123">
        <v>389300</v>
      </c>
      <c r="M120">
        <f t="shared" si="2"/>
        <v>0</v>
      </c>
    </row>
    <row r="121" spans="1:13" ht="16.5" customHeight="1">
      <c r="A121" s="6"/>
      <c r="B121" s="122">
        <v>431000</v>
      </c>
      <c r="C121" s="6"/>
      <c r="D121" s="6"/>
      <c r="E121" s="16" t="s">
        <v>352</v>
      </c>
      <c r="F121" s="23">
        <f>VLOOKUP(B121,'BS'!$B$2:$P$214,15,FALSE)</f>
        <v>0</v>
      </c>
      <c r="I121" s="6"/>
      <c r="K121" s="122">
        <v>431000</v>
      </c>
      <c r="M121">
        <f t="shared" si="2"/>
        <v>0</v>
      </c>
    </row>
    <row r="122" spans="1:11" ht="16.5" customHeight="1">
      <c r="A122" s="115"/>
      <c r="B122" s="123">
        <v>454300</v>
      </c>
      <c r="C122" s="115"/>
      <c r="D122" s="115"/>
      <c r="E122" s="123" t="s">
        <v>1072</v>
      </c>
      <c r="F122" s="23">
        <f>VLOOKUP(B122,'BS'!$B$2:$P$214,15,FALSE)</f>
        <v>70000</v>
      </c>
      <c r="I122" s="115"/>
      <c r="K122" s="123"/>
    </row>
    <row r="123" spans="1:13" ht="12" customHeight="1">
      <c r="A123" s="6"/>
      <c r="B123" s="122">
        <v>456111</v>
      </c>
      <c r="C123" s="6"/>
      <c r="D123" s="6"/>
      <c r="E123" s="16" t="s">
        <v>705</v>
      </c>
      <c r="F123" s="23">
        <f>VLOOKUP(B123,'BS'!$B$2:$P$214,15,FALSE)</f>
        <v>1560000</v>
      </c>
      <c r="G123" s="23">
        <f>SUM(F71:F128)</f>
        <v>12952694.24</v>
      </c>
      <c r="I123" s="6"/>
      <c r="K123" s="122">
        <v>456111</v>
      </c>
      <c r="M123">
        <f t="shared" si="2"/>
        <v>0</v>
      </c>
    </row>
    <row r="124" spans="1:13" ht="12" customHeight="1">
      <c r="A124" s="6"/>
      <c r="B124" s="122">
        <v>456112</v>
      </c>
      <c r="C124" s="6"/>
      <c r="D124" s="6"/>
      <c r="E124" s="16" t="s">
        <v>706</v>
      </c>
      <c r="F124" s="23">
        <f>VLOOKUP(B124,'BS'!$B$2:$P$214,15,FALSE)</f>
        <v>1560000</v>
      </c>
      <c r="G124" s="23"/>
      <c r="I124" s="6"/>
      <c r="K124" s="122">
        <v>456112</v>
      </c>
      <c r="M124">
        <f t="shared" si="2"/>
        <v>0</v>
      </c>
    </row>
    <row r="125" spans="1:13" ht="12" customHeight="1">
      <c r="A125" s="6"/>
      <c r="B125" s="122">
        <v>456114</v>
      </c>
      <c r="C125" s="6"/>
      <c r="D125" s="6"/>
      <c r="E125" s="16" t="s">
        <v>707</v>
      </c>
      <c r="F125" s="23">
        <f>VLOOKUP(B125,'BS'!$B$2:$P$214,15,FALSE)</f>
        <v>1622500</v>
      </c>
      <c r="I125" s="6"/>
      <c r="K125" s="122">
        <v>456114</v>
      </c>
      <c r="M125">
        <f t="shared" si="2"/>
        <v>0</v>
      </c>
    </row>
    <row r="126" spans="1:13" ht="12" customHeight="1">
      <c r="A126" s="6"/>
      <c r="B126" s="122">
        <v>456115</v>
      </c>
      <c r="C126" s="6"/>
      <c r="D126" s="6"/>
      <c r="E126" s="16" t="s">
        <v>708</v>
      </c>
      <c r="F126" s="23">
        <f>VLOOKUP(B126,'BS'!$B$2:$P$214,15,FALSE)</f>
        <v>257500</v>
      </c>
      <c r="G126" s="23"/>
      <c r="I126" s="6"/>
      <c r="K126" s="122">
        <v>456115</v>
      </c>
      <c r="M126">
        <f t="shared" si="2"/>
        <v>0</v>
      </c>
    </row>
    <row r="127" spans="1:13" ht="12" customHeight="1">
      <c r="A127" s="6"/>
      <c r="B127" s="122">
        <v>457100</v>
      </c>
      <c r="C127" s="6"/>
      <c r="D127" s="6"/>
      <c r="E127" s="16" t="s">
        <v>709</v>
      </c>
      <c r="F127" s="23">
        <f>VLOOKUP(B127,'BS'!$B$2:$P$214,15,FALSE)</f>
        <v>6555617.18</v>
      </c>
      <c r="I127" s="6"/>
      <c r="K127" s="122">
        <v>457100</v>
      </c>
      <c r="M127">
        <f aca="true" t="shared" si="3" ref="M127:M133">B127-K127</f>
        <v>0</v>
      </c>
    </row>
    <row r="128" spans="1:13" ht="12" customHeight="1" thickBot="1">
      <c r="A128" s="6"/>
      <c r="B128" s="122">
        <v>457200</v>
      </c>
      <c r="C128" s="6"/>
      <c r="D128" s="6"/>
      <c r="E128" s="16" t="s">
        <v>709</v>
      </c>
      <c r="F128" s="23">
        <f>VLOOKUP(B128,'BS'!$B$2:$P$214,15,FALSE)</f>
        <v>-1663235.34</v>
      </c>
      <c r="I128" s="6"/>
      <c r="K128" s="122">
        <v>457200</v>
      </c>
      <c r="M128">
        <f t="shared" si="3"/>
        <v>0</v>
      </c>
    </row>
    <row r="129" spans="1:13" ht="12" customHeight="1" thickBot="1">
      <c r="A129" s="6"/>
      <c r="B129" s="19"/>
      <c r="C129" s="19"/>
      <c r="D129" s="20" t="s">
        <v>356</v>
      </c>
      <c r="E129" s="19"/>
      <c r="I129" s="6"/>
      <c r="K129" s="133"/>
      <c r="M129">
        <f t="shared" si="3"/>
        <v>0</v>
      </c>
    </row>
    <row r="130" spans="1:13" ht="12" customHeight="1" thickBot="1">
      <c r="A130" s="6"/>
      <c r="B130" s="14"/>
      <c r="C130" s="14"/>
      <c r="D130" s="14"/>
      <c r="E130" s="14"/>
      <c r="I130" s="6"/>
      <c r="K130" s="133"/>
      <c r="M130">
        <f t="shared" si="3"/>
        <v>0</v>
      </c>
    </row>
    <row r="131" spans="1:13" ht="12" customHeight="1" thickBot="1" thickTop="1">
      <c r="A131" s="6"/>
      <c r="B131" s="6"/>
      <c r="C131" s="6"/>
      <c r="D131" s="6"/>
      <c r="E131" s="6"/>
      <c r="I131" s="6"/>
      <c r="K131" s="133"/>
      <c r="M131">
        <f t="shared" si="3"/>
        <v>0</v>
      </c>
    </row>
    <row r="132" spans="1:13" ht="12" customHeight="1" thickBot="1" thickTop="1">
      <c r="A132" s="6"/>
      <c r="B132" s="6"/>
      <c r="C132" s="6"/>
      <c r="D132" s="6"/>
      <c r="E132" s="6"/>
      <c r="I132" s="6"/>
      <c r="K132" s="133"/>
      <c r="M132">
        <f t="shared" si="3"/>
        <v>0</v>
      </c>
    </row>
    <row r="133" spans="1:13" ht="12" customHeight="1" thickBot="1" thickTop="1">
      <c r="A133" s="6"/>
      <c r="B133" s="6"/>
      <c r="C133" s="6"/>
      <c r="D133" s="6"/>
      <c r="E133" s="6"/>
      <c r="I133" s="6"/>
      <c r="K133" s="133"/>
      <c r="M133">
        <f t="shared" si="3"/>
        <v>0</v>
      </c>
    </row>
    <row r="134" spans="1:13" ht="12" customHeight="1" thickTop="1">
      <c r="A134" s="6"/>
      <c r="B134" s="123">
        <v>518000</v>
      </c>
      <c r="C134" s="6"/>
      <c r="D134" s="6"/>
      <c r="E134" s="6"/>
      <c r="F134" s="23">
        <f>VLOOKUP(B134,PL!$B$1:$O$86,14,TRUE)</f>
        <v>0</v>
      </c>
      <c r="I134" s="6"/>
      <c r="K134" s="122">
        <v>518000</v>
      </c>
      <c r="M134">
        <f aca="true" t="shared" si="4" ref="M134:M148">B134-K134</f>
        <v>0</v>
      </c>
    </row>
    <row r="135" spans="1:13" ht="12" customHeight="1">
      <c r="A135" s="6"/>
      <c r="B135" s="121">
        <v>561100</v>
      </c>
      <c r="C135" s="6"/>
      <c r="D135" s="6"/>
      <c r="E135" s="6" t="s">
        <v>967</v>
      </c>
      <c r="F135" s="23">
        <f>VLOOKUP(B135,PL!$B$1:$O$86,14,TRUE)</f>
        <v>24752</v>
      </c>
      <c r="I135" s="6"/>
      <c r="K135" s="122">
        <v>561100</v>
      </c>
      <c r="M135">
        <f t="shared" si="4"/>
        <v>0</v>
      </c>
    </row>
    <row r="136" spans="1:13" ht="12" customHeight="1" thickBot="1">
      <c r="A136" s="6"/>
      <c r="B136" s="122">
        <v>563110</v>
      </c>
      <c r="C136" s="6"/>
      <c r="D136" s="6"/>
      <c r="E136" s="123" t="s">
        <v>712</v>
      </c>
      <c r="F136" s="183">
        <f>VLOOKUP(B136,PL!$B$1:$O$86,14,TRUE)</f>
        <v>492294</v>
      </c>
      <c r="I136" s="6"/>
      <c r="K136" s="133">
        <v>563110</v>
      </c>
      <c r="M136">
        <f t="shared" si="4"/>
        <v>0</v>
      </c>
    </row>
    <row r="137" spans="1:13" ht="12" customHeight="1" thickTop="1">
      <c r="A137" s="6"/>
      <c r="B137" s="123">
        <v>563111</v>
      </c>
      <c r="C137" s="117"/>
      <c r="D137" s="117"/>
      <c r="E137" s="123" t="s">
        <v>713</v>
      </c>
      <c r="F137" s="183">
        <f>VLOOKUP(B137,PL!$B$1:$O$86,14,TRUE)</f>
        <v>675416</v>
      </c>
      <c r="I137" s="6"/>
      <c r="K137" s="134">
        <v>563111</v>
      </c>
      <c r="M137">
        <f t="shared" si="4"/>
        <v>0</v>
      </c>
    </row>
    <row r="138" spans="1:13" ht="12" customHeight="1">
      <c r="A138" s="6"/>
      <c r="B138" s="123">
        <v>563200</v>
      </c>
      <c r="C138" s="117"/>
      <c r="D138" s="117"/>
      <c r="E138" s="123" t="s">
        <v>714</v>
      </c>
      <c r="F138" s="183">
        <f>VLOOKUP(B138,PL!$B$1:$O$86,14,TRUE)</f>
        <v>394689</v>
      </c>
      <c r="I138" s="6"/>
      <c r="K138" s="122">
        <v>563200</v>
      </c>
      <c r="M138">
        <f t="shared" si="4"/>
        <v>0</v>
      </c>
    </row>
    <row r="139" spans="1:13" ht="12" customHeight="1">
      <c r="A139" s="115"/>
      <c r="B139" s="119" t="s">
        <v>904</v>
      </c>
      <c r="C139" s="117"/>
      <c r="D139" s="117"/>
      <c r="E139" s="123" t="s">
        <v>715</v>
      </c>
      <c r="F139" s="183">
        <f>VLOOKUP(B139,PL!$B$1:$O$86,14,TRUE)</f>
        <v>40425</v>
      </c>
      <c r="I139" s="6"/>
      <c r="K139" s="122">
        <v>563211</v>
      </c>
      <c r="M139">
        <f t="shared" si="4"/>
        <v>0</v>
      </c>
    </row>
    <row r="140" spans="1:13" ht="12" customHeight="1" thickBot="1">
      <c r="A140" s="6"/>
      <c r="B140" s="119" t="s">
        <v>905</v>
      </c>
      <c r="C140" s="117"/>
      <c r="D140" s="117"/>
      <c r="E140" s="123" t="s">
        <v>716</v>
      </c>
      <c r="F140" s="183">
        <f>VLOOKUP(B140,PL!$B$1:$O$86,14,TRUE)</f>
        <v>33075</v>
      </c>
      <c r="I140" s="6"/>
      <c r="K140" s="135">
        <v>563221</v>
      </c>
      <c r="M140">
        <f t="shared" si="4"/>
        <v>0</v>
      </c>
    </row>
    <row r="141" spans="1:13" ht="12" customHeight="1">
      <c r="A141" s="6"/>
      <c r="B141" s="121">
        <v>563500</v>
      </c>
      <c r="C141" s="120"/>
      <c r="D141" s="120"/>
      <c r="E141" s="123" t="s">
        <v>968</v>
      </c>
      <c r="F141" s="183">
        <f>VLOOKUP(B141,PL!$B$1:$O$86,14,TRUE)</f>
        <v>9000</v>
      </c>
      <c r="I141" s="6"/>
      <c r="K141" s="124">
        <v>563500</v>
      </c>
      <c r="M141">
        <f t="shared" si="4"/>
        <v>0</v>
      </c>
    </row>
    <row r="142" spans="1:13" ht="12" customHeight="1">
      <c r="A142" s="6"/>
      <c r="B142" s="119" t="s">
        <v>906</v>
      </c>
      <c r="C142" s="117"/>
      <c r="D142" s="117"/>
      <c r="E142" s="123" t="s">
        <v>717</v>
      </c>
      <c r="F142" s="183">
        <f>VLOOKUP(B142,PL!$B$1:$O$86,14,TRUE)</f>
        <v>296056.9</v>
      </c>
      <c r="I142" s="6"/>
      <c r="K142" s="122">
        <v>563601</v>
      </c>
      <c r="M142">
        <f t="shared" si="4"/>
        <v>0</v>
      </c>
    </row>
    <row r="143" spans="1:13" ht="12" customHeight="1">
      <c r="A143" s="6"/>
      <c r="B143" s="119" t="s">
        <v>907</v>
      </c>
      <c r="C143" s="117"/>
      <c r="D143" s="117"/>
      <c r="E143" s="123" t="s">
        <v>718</v>
      </c>
      <c r="F143" s="183">
        <f>VLOOKUP(B143,PL!$B$1:$O$86,14,TRUE)</f>
        <v>55917.09</v>
      </c>
      <c r="I143" s="6"/>
      <c r="K143" s="122">
        <v>563602</v>
      </c>
      <c r="M143">
        <f t="shared" si="4"/>
        <v>0</v>
      </c>
    </row>
    <row r="144" spans="1:13" ht="12" customHeight="1">
      <c r="A144" s="6"/>
      <c r="B144" s="119" t="s">
        <v>908</v>
      </c>
      <c r="C144" s="117"/>
      <c r="D144" s="117"/>
      <c r="E144" s="123" t="s">
        <v>719</v>
      </c>
      <c r="F144" s="183">
        <f>VLOOKUP(B144,PL!$B$1:$O$86,14,TRUE)</f>
        <v>27732.16</v>
      </c>
      <c r="I144" s="6"/>
      <c r="K144" s="122">
        <v>563605</v>
      </c>
      <c r="M144">
        <f t="shared" si="4"/>
        <v>0</v>
      </c>
    </row>
    <row r="145" spans="1:13" ht="12" customHeight="1">
      <c r="A145" s="6"/>
      <c r="B145" s="119" t="s">
        <v>909</v>
      </c>
      <c r="C145" s="117"/>
      <c r="D145" s="117"/>
      <c r="E145" s="123" t="s">
        <v>758</v>
      </c>
      <c r="F145" s="183">
        <f>VLOOKUP(B145,PL!$B$1:$O$86,14,TRUE)</f>
        <v>5756.18</v>
      </c>
      <c r="I145" s="6"/>
      <c r="K145" s="122">
        <v>563606</v>
      </c>
      <c r="M145">
        <f t="shared" si="4"/>
        <v>0</v>
      </c>
    </row>
    <row r="146" spans="1:13" ht="12" customHeight="1">
      <c r="A146" s="6"/>
      <c r="B146" s="119" t="s">
        <v>910</v>
      </c>
      <c r="C146" s="117"/>
      <c r="D146" s="117"/>
      <c r="E146" s="123" t="s">
        <v>720</v>
      </c>
      <c r="F146" s="183">
        <f>VLOOKUP(B146,PL!$B$1:$O$86,14,TRUE)</f>
        <v>2147.82</v>
      </c>
      <c r="I146" s="6"/>
      <c r="K146" s="122">
        <v>563607</v>
      </c>
      <c r="M146">
        <f t="shared" si="4"/>
        <v>0</v>
      </c>
    </row>
    <row r="147" spans="1:13" ht="12" customHeight="1">
      <c r="A147" s="6"/>
      <c r="B147" s="121" t="s">
        <v>969</v>
      </c>
      <c r="C147" s="120"/>
      <c r="D147" s="120"/>
      <c r="E147" s="123" t="s">
        <v>970</v>
      </c>
      <c r="F147" s="183">
        <f>VLOOKUP(B147,PL!$B$1:$O$86,14,TRUE)</f>
        <v>39338.8</v>
      </c>
      <c r="I147" s="6"/>
      <c r="K147" s="122">
        <v>563608</v>
      </c>
      <c r="M147">
        <f t="shared" si="4"/>
        <v>0</v>
      </c>
    </row>
    <row r="148" spans="1:13" ht="12" customHeight="1">
      <c r="A148" s="6"/>
      <c r="B148" s="119" t="s">
        <v>911</v>
      </c>
      <c r="C148" s="117"/>
      <c r="D148" s="117"/>
      <c r="E148" s="123" t="s">
        <v>759</v>
      </c>
      <c r="F148" s="183">
        <f>VLOOKUP(B148,PL!$B$1:$O$86,14,TRUE)</f>
        <v>68564.07</v>
      </c>
      <c r="I148" s="6"/>
      <c r="K148" s="122">
        <v>563610</v>
      </c>
      <c r="M148">
        <f t="shared" si="4"/>
        <v>0</v>
      </c>
    </row>
    <row r="149" spans="1:13" ht="12" customHeight="1">
      <c r="A149" s="6"/>
      <c r="B149" s="164">
        <v>563612</v>
      </c>
      <c r="C149" s="163"/>
      <c r="D149" s="163"/>
      <c r="E149" s="123" t="s">
        <v>979</v>
      </c>
      <c r="F149" s="183">
        <f>VLOOKUP(B149,PL!$B$1:$O$86,14,TRUE)</f>
        <v>0</v>
      </c>
      <c r="I149" s="6"/>
      <c r="K149" s="122">
        <v>563613</v>
      </c>
      <c r="M149">
        <f aca="true" t="shared" si="5" ref="M149:M166">B150-K149</f>
        <v>0</v>
      </c>
    </row>
    <row r="150" spans="1:13" ht="12" customHeight="1">
      <c r="A150" s="6"/>
      <c r="B150" s="119" t="s">
        <v>912</v>
      </c>
      <c r="C150" s="117"/>
      <c r="D150" s="117"/>
      <c r="E150" s="123" t="s">
        <v>760</v>
      </c>
      <c r="F150" s="183">
        <f>VLOOKUP(B150,PL!$B$1:$O$86,14,TRUE)</f>
        <v>15822.7</v>
      </c>
      <c r="I150" s="6"/>
      <c r="K150" s="122">
        <v>563614</v>
      </c>
      <c r="M150">
        <f t="shared" si="5"/>
        <v>0</v>
      </c>
    </row>
    <row r="151" spans="1:13" ht="12" customHeight="1">
      <c r="A151" s="6"/>
      <c r="B151" s="119" t="s">
        <v>913</v>
      </c>
      <c r="C151" s="117"/>
      <c r="D151" s="117"/>
      <c r="E151" s="123" t="s">
        <v>761</v>
      </c>
      <c r="F151" s="183">
        <f>VLOOKUP(B151,PL!$B$1:$O$86,14,TRUE)</f>
        <v>1083</v>
      </c>
      <c r="I151" s="6"/>
      <c r="K151" s="122">
        <v>563615</v>
      </c>
      <c r="M151">
        <f t="shared" si="5"/>
        <v>0</v>
      </c>
    </row>
    <row r="152" spans="1:13" ht="12" customHeight="1">
      <c r="A152" s="6"/>
      <c r="B152" s="121" t="s">
        <v>971</v>
      </c>
      <c r="C152" s="120"/>
      <c r="D152" s="120"/>
      <c r="E152" s="123" t="s">
        <v>972</v>
      </c>
      <c r="F152" s="183">
        <f>VLOOKUP(B152,PL!$B$1:$O$86,14,TRUE)</f>
        <v>0</v>
      </c>
      <c r="I152" s="6"/>
      <c r="K152" s="122">
        <v>563616</v>
      </c>
      <c r="M152">
        <f t="shared" si="5"/>
        <v>0</v>
      </c>
    </row>
    <row r="153" spans="1:13" ht="12" customHeight="1">
      <c r="A153" s="6"/>
      <c r="B153" s="119" t="s">
        <v>914</v>
      </c>
      <c r="C153" s="117"/>
      <c r="D153" s="117"/>
      <c r="E153" s="123" t="s">
        <v>762</v>
      </c>
      <c r="F153" s="183">
        <f>VLOOKUP(B153,PL!$B$1:$O$86,14,TRUE)</f>
        <v>0</v>
      </c>
      <c r="I153" s="6"/>
      <c r="K153" s="122">
        <v>563617</v>
      </c>
      <c r="M153">
        <f t="shared" si="5"/>
        <v>0</v>
      </c>
    </row>
    <row r="154" spans="1:13" ht="12" customHeight="1">
      <c r="A154" s="6"/>
      <c r="B154" s="119" t="s">
        <v>915</v>
      </c>
      <c r="C154" s="117"/>
      <c r="D154" s="117"/>
      <c r="E154" s="123" t="s">
        <v>763</v>
      </c>
      <c r="F154" s="183">
        <f>VLOOKUP(B154,PL!$B$1:$O$86,14,TRUE)</f>
        <v>599</v>
      </c>
      <c r="I154" s="6"/>
      <c r="K154" s="123">
        <v>563618</v>
      </c>
      <c r="M154">
        <f t="shared" si="5"/>
        <v>0</v>
      </c>
    </row>
    <row r="155" spans="1:13" ht="12" customHeight="1">
      <c r="A155" s="6"/>
      <c r="B155" s="119" t="s">
        <v>916</v>
      </c>
      <c r="C155" s="117"/>
      <c r="D155" s="117"/>
      <c r="E155" s="123" t="s">
        <v>917</v>
      </c>
      <c r="F155" s="183">
        <f>VLOOKUP(B155,PL!$B$1:$O$86,14,TRUE)</f>
        <v>0</v>
      </c>
      <c r="I155" s="6"/>
      <c r="K155" s="122">
        <v>563620</v>
      </c>
      <c r="M155">
        <f t="shared" si="5"/>
        <v>0</v>
      </c>
    </row>
    <row r="156" spans="1:13" ht="12" customHeight="1">
      <c r="A156" s="6"/>
      <c r="B156" s="119" t="s">
        <v>918</v>
      </c>
      <c r="C156" s="117"/>
      <c r="D156" s="117"/>
      <c r="E156" s="123" t="s">
        <v>721</v>
      </c>
      <c r="F156" s="183">
        <f>VLOOKUP(B156,PL!$B$1:$O$86,14,TRUE)</f>
        <v>80766.84</v>
      </c>
      <c r="I156" s="6"/>
      <c r="K156" s="122">
        <v>563621</v>
      </c>
      <c r="M156">
        <f t="shared" si="5"/>
        <v>0</v>
      </c>
    </row>
    <row r="157" spans="1:13" ht="12" customHeight="1">
      <c r="A157" s="6"/>
      <c r="B157" s="119" t="s">
        <v>919</v>
      </c>
      <c r="C157" s="117"/>
      <c r="D157" s="117"/>
      <c r="E157" s="123" t="s">
        <v>764</v>
      </c>
      <c r="F157" s="183">
        <f>VLOOKUP(B157,PL!$B$1:$O$86,14,TRUE)</f>
        <v>297675</v>
      </c>
      <c r="I157" s="6"/>
      <c r="K157" s="122">
        <v>563630</v>
      </c>
      <c r="M157">
        <f t="shared" si="5"/>
        <v>0</v>
      </c>
    </row>
    <row r="158" spans="1:13" ht="12" customHeight="1">
      <c r="A158" s="6"/>
      <c r="B158" s="119" t="s">
        <v>920</v>
      </c>
      <c r="C158" s="117"/>
      <c r="D158" s="117"/>
      <c r="E158" s="123" t="s">
        <v>733</v>
      </c>
      <c r="F158" s="183">
        <f>VLOOKUP(B158,PL!$B$1:$O$86,14,TRUE)</f>
        <v>5006.58</v>
      </c>
      <c r="I158" s="6"/>
      <c r="K158" s="123">
        <v>563632</v>
      </c>
      <c r="M158">
        <f t="shared" si="5"/>
        <v>-1</v>
      </c>
    </row>
    <row r="159" spans="1:13" ht="12" customHeight="1">
      <c r="A159" s="6"/>
      <c r="B159" s="164">
        <v>563631</v>
      </c>
      <c r="C159" s="120"/>
      <c r="D159" s="120"/>
      <c r="E159" s="123" t="s">
        <v>986</v>
      </c>
      <c r="F159" s="183">
        <f>VLOOKUP(B159,PL!$B$1:$O$86,14,TRUE)</f>
        <v>12396</v>
      </c>
      <c r="I159" s="6"/>
      <c r="K159" s="122">
        <v>563633</v>
      </c>
      <c r="M159">
        <f t="shared" si="5"/>
        <v>0</v>
      </c>
    </row>
    <row r="160" spans="1:13" ht="12" customHeight="1">
      <c r="A160" s="6"/>
      <c r="B160" s="119" t="s">
        <v>921</v>
      </c>
      <c r="C160" s="117"/>
      <c r="D160" s="117"/>
      <c r="E160" s="123" t="s">
        <v>722</v>
      </c>
      <c r="F160" s="183">
        <f>VLOOKUP(B160,PL!$B$1:$O$86,14,TRUE)</f>
        <v>1485365.71</v>
      </c>
      <c r="I160" s="6"/>
      <c r="K160" s="122">
        <v>563634</v>
      </c>
      <c r="M160">
        <f t="shared" si="5"/>
        <v>0</v>
      </c>
    </row>
    <row r="161" spans="1:13" ht="12" customHeight="1">
      <c r="A161" s="6"/>
      <c r="B161" s="119" t="s">
        <v>922</v>
      </c>
      <c r="C161" s="117"/>
      <c r="D161" s="117"/>
      <c r="E161" s="123" t="s">
        <v>765</v>
      </c>
      <c r="F161" s="183">
        <f>VLOOKUP(B161,PL!$B$1:$O$86,14,TRUE)</f>
        <v>269220.78</v>
      </c>
      <c r="I161" s="6"/>
      <c r="K161" s="122">
        <v>563635</v>
      </c>
      <c r="M161">
        <f t="shared" si="5"/>
        <v>0</v>
      </c>
    </row>
    <row r="162" spans="1:13" ht="12" customHeight="1">
      <c r="A162" s="6"/>
      <c r="B162" s="119" t="s">
        <v>923</v>
      </c>
      <c r="C162" s="117"/>
      <c r="D162" s="117"/>
      <c r="E162" s="123" t="s">
        <v>723</v>
      </c>
      <c r="F162" s="183">
        <f>VLOOKUP(B162,PL!$B$1:$O$86,14,TRUE)</f>
        <v>3675.58</v>
      </c>
      <c r="I162" s="6"/>
      <c r="K162" s="122">
        <v>563636</v>
      </c>
      <c r="M162">
        <f t="shared" si="5"/>
        <v>0</v>
      </c>
    </row>
    <row r="163" spans="1:13" ht="12" customHeight="1">
      <c r="A163" s="6"/>
      <c r="B163" s="119" t="s">
        <v>924</v>
      </c>
      <c r="C163" s="117"/>
      <c r="D163" s="117"/>
      <c r="E163" s="123" t="s">
        <v>766</v>
      </c>
      <c r="F163" s="183">
        <f>VLOOKUP(B163,PL!$B$1:$O$86,14,TRUE)</f>
        <v>319200</v>
      </c>
      <c r="I163" s="6"/>
      <c r="K163" s="122">
        <v>563637</v>
      </c>
      <c r="M163">
        <f t="shared" si="5"/>
        <v>0</v>
      </c>
    </row>
    <row r="164" spans="1:13" ht="12" customHeight="1">
      <c r="A164" s="6"/>
      <c r="B164" s="119" t="s">
        <v>925</v>
      </c>
      <c r="C164" s="117"/>
      <c r="D164" s="117"/>
      <c r="E164" s="123" t="s">
        <v>724</v>
      </c>
      <c r="F164" s="183">
        <f>VLOOKUP(B164,PL!$B$1:$O$86,14,TRUE)</f>
        <v>15185.08</v>
      </c>
      <c r="I164" s="6"/>
      <c r="K164" s="123">
        <v>563638</v>
      </c>
      <c r="M164">
        <f t="shared" si="5"/>
        <v>0</v>
      </c>
    </row>
    <row r="165" spans="1:13" ht="12" customHeight="1">
      <c r="A165" s="6"/>
      <c r="B165" s="119" t="s">
        <v>926</v>
      </c>
      <c r="C165" s="117"/>
      <c r="D165" s="117"/>
      <c r="E165" s="123" t="s">
        <v>852</v>
      </c>
      <c r="F165" s="183">
        <f>VLOOKUP(B165,PL!$B$1:$O$86,14,TRUE)</f>
        <v>135000</v>
      </c>
      <c r="I165" s="6"/>
      <c r="K165" s="122">
        <v>563639</v>
      </c>
      <c r="M165">
        <f t="shared" si="5"/>
        <v>0</v>
      </c>
    </row>
    <row r="166" spans="1:13" ht="12" customHeight="1">
      <c r="A166" s="6"/>
      <c r="B166" s="119" t="s">
        <v>927</v>
      </c>
      <c r="C166" s="117"/>
      <c r="D166" s="117"/>
      <c r="E166" s="123" t="s">
        <v>725</v>
      </c>
      <c r="F166" s="183">
        <f>VLOOKUP(B166,PL!$B$1:$O$86,14,TRUE)</f>
        <v>12444.91</v>
      </c>
      <c r="I166" s="6"/>
      <c r="K166" s="122">
        <v>563640</v>
      </c>
      <c r="M166">
        <f t="shared" si="5"/>
        <v>0</v>
      </c>
    </row>
    <row r="167" spans="1:13" ht="12" customHeight="1">
      <c r="A167" s="6"/>
      <c r="B167" s="119" t="s">
        <v>928</v>
      </c>
      <c r="C167" s="117"/>
      <c r="D167" s="117"/>
      <c r="E167" s="123" t="s">
        <v>726</v>
      </c>
      <c r="F167" s="183">
        <f>VLOOKUP(B167,PL!$B$1:$O$86,14,TRUE)</f>
        <v>47777.6</v>
      </c>
      <c r="I167" s="6"/>
      <c r="K167" s="122">
        <v>563643</v>
      </c>
      <c r="M167">
        <f aca="true" t="shared" si="6" ref="M167:M176">B169-K167</f>
        <v>0</v>
      </c>
    </row>
    <row r="168" spans="1:13" ht="12" customHeight="1">
      <c r="A168" s="6"/>
      <c r="B168" s="209">
        <v>563649</v>
      </c>
      <c r="C168" s="210"/>
      <c r="D168" s="210"/>
      <c r="E168" s="173" t="s">
        <v>980</v>
      </c>
      <c r="F168" s="114">
        <f>VLOOKUP(B168,PL!$B$1:$O$86,14,TRUE)</f>
        <v>20466</v>
      </c>
      <c r="I168" s="6"/>
      <c r="K168" s="122">
        <v>563644</v>
      </c>
      <c r="M168">
        <f t="shared" si="6"/>
        <v>0</v>
      </c>
    </row>
    <row r="169" spans="1:13" ht="12" customHeight="1">
      <c r="A169" s="6"/>
      <c r="B169" s="119" t="s">
        <v>929</v>
      </c>
      <c r="C169" s="117"/>
      <c r="D169" s="117"/>
      <c r="E169" s="123" t="s">
        <v>727</v>
      </c>
      <c r="F169" s="183">
        <f>VLOOKUP(B169,PL!$B$1:$O$86,14,TRUE)</f>
        <v>148500</v>
      </c>
      <c r="I169" s="6"/>
      <c r="K169" s="122">
        <v>563645</v>
      </c>
      <c r="M169">
        <f t="shared" si="6"/>
        <v>0</v>
      </c>
    </row>
    <row r="170" spans="1:13" ht="12.75">
      <c r="A170" s="6"/>
      <c r="B170" s="119" t="s">
        <v>930</v>
      </c>
      <c r="C170" s="117"/>
      <c r="D170" s="117"/>
      <c r="E170" s="123" t="s">
        <v>728</v>
      </c>
      <c r="F170" s="183">
        <f>VLOOKUP(B170,PL!$B$1:$O$86,14,TRUE)</f>
        <v>76558.67</v>
      </c>
      <c r="I170" s="6"/>
      <c r="K170" s="122">
        <v>563647</v>
      </c>
      <c r="M170">
        <f t="shared" si="6"/>
        <v>0</v>
      </c>
    </row>
    <row r="171" spans="1:13" ht="12" customHeight="1">
      <c r="A171" s="6"/>
      <c r="B171" s="123" t="s">
        <v>931</v>
      </c>
      <c r="C171" s="120"/>
      <c r="D171" s="120"/>
      <c r="E171" s="123" t="s">
        <v>729</v>
      </c>
      <c r="F171" s="183">
        <f>VLOOKUP(B171,PL!$B$1:$O$86,14,TRUE)</f>
        <v>921943.5</v>
      </c>
      <c r="I171" s="6"/>
      <c r="K171" s="122">
        <v>563650</v>
      </c>
      <c r="M171">
        <f t="shared" si="6"/>
        <v>0</v>
      </c>
    </row>
    <row r="172" spans="1:13" ht="12" customHeight="1">
      <c r="A172" s="6"/>
      <c r="B172" s="119" t="s">
        <v>932</v>
      </c>
      <c r="C172" s="117"/>
      <c r="D172" s="117"/>
      <c r="E172" s="123" t="s">
        <v>730</v>
      </c>
      <c r="F172" s="183">
        <f>VLOOKUP(B172,PL!$B$1:$O$86,14,TRUE)</f>
        <v>4500</v>
      </c>
      <c r="I172" s="6"/>
      <c r="K172" s="122">
        <v>563651</v>
      </c>
      <c r="M172">
        <f t="shared" si="6"/>
        <v>0</v>
      </c>
    </row>
    <row r="173" spans="1:13" ht="11.25" customHeight="1">
      <c r="A173" s="6"/>
      <c r="B173" s="119" t="s">
        <v>933</v>
      </c>
      <c r="C173" s="117"/>
      <c r="D173" s="117"/>
      <c r="E173" s="123" t="s">
        <v>731</v>
      </c>
      <c r="F173" s="183">
        <f>VLOOKUP(B173,PL!$B$1:$O$86,14,TRUE)</f>
        <v>55350</v>
      </c>
      <c r="I173" s="6"/>
      <c r="K173" s="122">
        <v>563652</v>
      </c>
      <c r="M173">
        <f t="shared" si="6"/>
        <v>0</v>
      </c>
    </row>
    <row r="174" spans="1:13" ht="12" customHeight="1">
      <c r="A174" s="6"/>
      <c r="B174" s="119" t="s">
        <v>934</v>
      </c>
      <c r="C174" s="117"/>
      <c r="D174" s="117"/>
      <c r="E174" s="123" t="s">
        <v>767</v>
      </c>
      <c r="F174" s="183">
        <f>VLOOKUP(B174,PL!$B$1:$O$86,14,TRUE)</f>
        <v>133676</v>
      </c>
      <c r="I174" s="6"/>
      <c r="K174" s="122">
        <v>563654</v>
      </c>
      <c r="M174">
        <f t="shared" si="6"/>
        <v>0</v>
      </c>
    </row>
    <row r="175" spans="1:13" ht="12.75" customHeight="1">
      <c r="A175" s="6"/>
      <c r="B175" s="119" t="s">
        <v>935</v>
      </c>
      <c r="C175" s="117"/>
      <c r="D175" s="117"/>
      <c r="E175" s="123" t="s">
        <v>732</v>
      </c>
      <c r="F175" s="183">
        <f>VLOOKUP(B175,PL!$B$1:$O$86,14,TRUE)</f>
        <v>51113.92</v>
      </c>
      <c r="I175" s="6"/>
      <c r="K175" s="122">
        <v>563655</v>
      </c>
      <c r="M175">
        <f t="shared" si="6"/>
        <v>0</v>
      </c>
    </row>
    <row r="176" spans="1:13" ht="12" customHeight="1">
      <c r="A176" s="6"/>
      <c r="B176" s="119" t="s">
        <v>936</v>
      </c>
      <c r="C176" s="117"/>
      <c r="D176" s="117"/>
      <c r="E176" s="123" t="s">
        <v>733</v>
      </c>
      <c r="F176" s="183">
        <f>VLOOKUP(B176,PL!$B$1:$O$86,14,TRUE)</f>
        <v>1251014.15</v>
      </c>
      <c r="I176" s="6"/>
      <c r="K176" s="122">
        <v>563656</v>
      </c>
      <c r="M176">
        <f t="shared" si="6"/>
        <v>0</v>
      </c>
    </row>
    <row r="177" spans="1:11" ht="12" customHeight="1">
      <c r="A177" s="6"/>
      <c r="B177" s="119" t="s">
        <v>937</v>
      </c>
      <c r="C177" s="117"/>
      <c r="D177" s="117"/>
      <c r="E177" s="123" t="s">
        <v>768</v>
      </c>
      <c r="F177" s="114">
        <f>PL!O57</f>
        <v>661966.6</v>
      </c>
      <c r="I177" s="115"/>
      <c r="K177" s="123"/>
    </row>
    <row r="178" spans="1:13" ht="12" customHeight="1">
      <c r="A178" s="115"/>
      <c r="B178" s="119" t="s">
        <v>938</v>
      </c>
      <c r="C178" s="117"/>
      <c r="D178" s="117"/>
      <c r="E178" s="123" t="s">
        <v>734</v>
      </c>
      <c r="F178" s="183">
        <f>VLOOKUP(B178,PL!$B$1:$O$86,14,TRUE)</f>
        <v>648000</v>
      </c>
      <c r="I178" s="6"/>
      <c r="K178" s="122">
        <v>563658</v>
      </c>
      <c r="M178">
        <f>B180-K178</f>
        <v>0</v>
      </c>
    </row>
    <row r="179" spans="1:13" ht="12" customHeight="1">
      <c r="A179" s="6"/>
      <c r="B179" s="164">
        <v>563657</v>
      </c>
      <c r="C179" s="163"/>
      <c r="D179" s="163"/>
      <c r="E179" s="123" t="s">
        <v>983</v>
      </c>
      <c r="F179" s="183">
        <f>VLOOKUP(B179,PL!$B$1:$O$86,14,TRUE)</f>
        <v>225000</v>
      </c>
      <c r="I179" s="6"/>
      <c r="K179" s="122">
        <v>563661</v>
      </c>
      <c r="M179">
        <f>B183-K179</f>
        <v>0</v>
      </c>
    </row>
    <row r="180" spans="1:13" ht="12" customHeight="1">
      <c r="A180" s="6"/>
      <c r="B180" s="119" t="s">
        <v>939</v>
      </c>
      <c r="C180" s="117"/>
      <c r="D180" s="117"/>
      <c r="E180" s="123" t="s">
        <v>735</v>
      </c>
      <c r="F180" s="183">
        <f>VLOOKUP(B180,PL!$B$1:$O$86,14,TRUE)</f>
        <v>131450</v>
      </c>
      <c r="I180" s="6"/>
      <c r="K180" s="122">
        <v>563662</v>
      </c>
      <c r="M180">
        <f>B184-K180</f>
        <v>0</v>
      </c>
    </row>
    <row r="181" spans="1:13" ht="12" customHeight="1">
      <c r="A181" s="6"/>
      <c r="B181" s="164">
        <v>563659</v>
      </c>
      <c r="C181" s="163"/>
      <c r="D181" s="163"/>
      <c r="E181" s="123" t="s">
        <v>984</v>
      </c>
      <c r="F181" s="183">
        <f>VLOOKUP(B181,PL!$B$1:$O$86,14,TRUE)</f>
        <v>0</v>
      </c>
      <c r="I181" s="6"/>
      <c r="K181" s="122">
        <v>563663</v>
      </c>
      <c r="M181">
        <f>B185-K181</f>
        <v>0</v>
      </c>
    </row>
    <row r="182" spans="1:13" ht="12" customHeight="1">
      <c r="A182" s="6"/>
      <c r="B182" s="164">
        <v>563660</v>
      </c>
      <c r="C182" s="163"/>
      <c r="D182" s="163"/>
      <c r="E182" s="123" t="s">
        <v>985</v>
      </c>
      <c r="F182" s="183">
        <f>VLOOKUP(B182,PL!$B$1:$O$86,14,TRUE)</f>
        <v>1938.41</v>
      </c>
      <c r="I182" s="6"/>
      <c r="K182" s="122">
        <v>563720</v>
      </c>
      <c r="M182">
        <f>B187-K182</f>
        <v>0</v>
      </c>
    </row>
    <row r="183" spans="1:13" ht="12" customHeight="1">
      <c r="A183" s="6"/>
      <c r="B183" s="119" t="s">
        <v>940</v>
      </c>
      <c r="C183" s="117"/>
      <c r="D183" s="117"/>
      <c r="E183" s="123" t="s">
        <v>736</v>
      </c>
      <c r="F183" s="183">
        <f>VLOOKUP(B183,PL!$B$1:$O$86,14,TRUE)</f>
        <v>758037.9</v>
      </c>
      <c r="I183" s="6"/>
      <c r="K183" s="122">
        <v>563830</v>
      </c>
      <c r="M183">
        <f>B188-K183</f>
        <v>0</v>
      </c>
    </row>
    <row r="184" spans="1:13" ht="12" customHeight="1">
      <c r="A184" s="6"/>
      <c r="B184" s="119" t="s">
        <v>941</v>
      </c>
      <c r="C184" s="117"/>
      <c r="D184" s="117"/>
      <c r="E184" s="123" t="s">
        <v>737</v>
      </c>
      <c r="F184" s="183">
        <f>VLOOKUP(B184,PL!$B$1:$O$86,14,TRUE)</f>
        <v>210372</v>
      </c>
      <c r="I184" s="6"/>
      <c r="K184" s="122">
        <v>566710</v>
      </c>
      <c r="M184">
        <f>B190-K184</f>
        <v>-510</v>
      </c>
    </row>
    <row r="185" spans="1:13" ht="12" customHeight="1">
      <c r="A185" s="6"/>
      <c r="B185" s="119" t="s">
        <v>942</v>
      </c>
      <c r="C185" s="117"/>
      <c r="D185" s="117"/>
      <c r="E185" s="123" t="s">
        <v>738</v>
      </c>
      <c r="F185" s="183">
        <f>VLOOKUP(B185,PL!$B$1:$O$86,14,TRUE)</f>
        <v>87925.01</v>
      </c>
      <c r="I185" s="6"/>
      <c r="K185" s="123">
        <v>566720</v>
      </c>
      <c r="M185">
        <f>B191-K185</f>
        <v>-10</v>
      </c>
    </row>
    <row r="186" spans="1:13" ht="12" customHeight="1">
      <c r="A186" s="6"/>
      <c r="B186" s="164">
        <v>563665</v>
      </c>
      <c r="C186" s="163"/>
      <c r="D186" s="163"/>
      <c r="E186" s="123" t="s">
        <v>987</v>
      </c>
      <c r="F186" s="183">
        <f>VLOOKUP(B186,PL!$B$1:$O$86,14,TRUE)</f>
        <v>0</v>
      </c>
      <c r="I186" s="6"/>
      <c r="K186" s="123">
        <v>568100</v>
      </c>
      <c r="M186">
        <f>B193-K186</f>
        <v>0</v>
      </c>
    </row>
    <row r="187" spans="1:13" ht="12" customHeight="1">
      <c r="A187" s="6"/>
      <c r="B187" s="119" t="s">
        <v>943</v>
      </c>
      <c r="C187" s="117"/>
      <c r="D187" s="117"/>
      <c r="E187" s="123" t="s">
        <v>739</v>
      </c>
      <c r="F187" s="183">
        <f>VLOOKUP(B187,PL!$B$1:$O$86,14,TRUE)</f>
        <v>345051</v>
      </c>
      <c r="I187" s="6"/>
      <c r="K187" s="122">
        <v>568200</v>
      </c>
      <c r="M187">
        <f>B194-K187</f>
        <v>0</v>
      </c>
    </row>
    <row r="188" spans="1:13" ht="16.5" customHeight="1">
      <c r="A188" s="6"/>
      <c r="B188" s="119" t="s">
        <v>944</v>
      </c>
      <c r="C188" s="117"/>
      <c r="D188" s="117"/>
      <c r="E188" s="123" t="s">
        <v>740</v>
      </c>
      <c r="F188" s="183">
        <f>VLOOKUP(B188,PL!$B$1:$O$86,14,TRUE)</f>
        <v>305703</v>
      </c>
      <c r="I188" s="6"/>
      <c r="K188" s="123">
        <v>571630</v>
      </c>
      <c r="M188">
        <f>B195-K188</f>
        <v>0</v>
      </c>
    </row>
    <row r="189" spans="1:11" ht="16.5" customHeight="1">
      <c r="A189" s="115"/>
      <c r="B189" s="164">
        <v>565300</v>
      </c>
      <c r="C189" s="163"/>
      <c r="D189" s="163"/>
      <c r="E189" s="123" t="s">
        <v>1074</v>
      </c>
      <c r="F189" s="183">
        <f>PL!O69</f>
        <v>-23000</v>
      </c>
      <c r="I189" s="115"/>
      <c r="K189" s="123"/>
    </row>
    <row r="190" spans="1:13" ht="16.5" customHeight="1">
      <c r="A190" s="6"/>
      <c r="B190" s="121">
        <v>566200</v>
      </c>
      <c r="C190" s="120"/>
      <c r="D190" s="120"/>
      <c r="E190" s="123" t="s">
        <v>1077</v>
      </c>
      <c r="F190" s="183">
        <f>PL!O70</f>
        <v>0</v>
      </c>
      <c r="I190" s="6"/>
      <c r="K190" s="122">
        <v>571640</v>
      </c>
      <c r="M190">
        <f>B196-K190</f>
        <v>0</v>
      </c>
    </row>
    <row r="191" spans="1:13" ht="12.75">
      <c r="A191" s="6"/>
      <c r="B191" s="121">
        <v>566710</v>
      </c>
      <c r="C191" s="120"/>
      <c r="D191" s="120"/>
      <c r="E191" s="123" t="s">
        <v>975</v>
      </c>
      <c r="F191" s="183">
        <f>PL!O71</f>
        <v>350000</v>
      </c>
      <c r="I191" s="6"/>
      <c r="K191" s="122">
        <v>571650</v>
      </c>
      <c r="M191">
        <f>B197-K191</f>
        <v>0</v>
      </c>
    </row>
    <row r="192" spans="1:11" ht="12.75">
      <c r="A192" s="115"/>
      <c r="B192" s="164">
        <v>566720</v>
      </c>
      <c r="C192" s="163"/>
      <c r="D192" s="163"/>
      <c r="E192" s="123" t="s">
        <v>1094</v>
      </c>
      <c r="F192" s="183">
        <f>PL!O72</f>
        <v>0</v>
      </c>
      <c r="I192" s="115"/>
      <c r="K192" s="123"/>
    </row>
    <row r="193" spans="1:13" ht="12.75">
      <c r="A193" s="6"/>
      <c r="B193" s="119" t="s">
        <v>945</v>
      </c>
      <c r="C193" s="117"/>
      <c r="D193" s="117"/>
      <c r="E193" s="123" t="s">
        <v>769</v>
      </c>
      <c r="F193" s="23">
        <f>VLOOKUP(B193,PL!$B$1:$O$86,14,TRUE)</f>
        <v>451000</v>
      </c>
      <c r="I193" s="6"/>
      <c r="K193" s="123">
        <v>663100</v>
      </c>
      <c r="M193">
        <f>B198-K193</f>
        <v>0</v>
      </c>
    </row>
    <row r="194" spans="1:13" ht="12.75">
      <c r="A194" s="6"/>
      <c r="B194" s="121">
        <v>568200</v>
      </c>
      <c r="C194" s="120"/>
      <c r="D194" s="120"/>
      <c r="E194" s="123"/>
      <c r="F194" s="23">
        <f>VLOOKUP(B194,PL!$B$1:$O$86,14,TRUE)</f>
        <v>0</v>
      </c>
      <c r="I194" s="6"/>
      <c r="K194" s="122">
        <v>671610</v>
      </c>
      <c r="M194">
        <f>B200-K194</f>
        <v>0</v>
      </c>
    </row>
    <row r="195" spans="1:13" ht="12.75">
      <c r="A195" s="6"/>
      <c r="B195" s="121">
        <v>571630</v>
      </c>
      <c r="C195" s="120"/>
      <c r="D195" s="120"/>
      <c r="E195" s="123" t="s">
        <v>957</v>
      </c>
      <c r="F195" s="23">
        <f>VLOOKUP(B195,PL!$B$1:$O$86,14,TRUE)</f>
        <v>0</v>
      </c>
      <c r="I195" s="6"/>
      <c r="K195" s="122">
        <v>671621</v>
      </c>
      <c r="M195">
        <f>B201-K195</f>
        <v>0</v>
      </c>
    </row>
    <row r="196" spans="1:13" ht="12.75">
      <c r="A196" s="6"/>
      <c r="B196" s="119">
        <v>571640</v>
      </c>
      <c r="C196" s="120"/>
      <c r="D196" s="120"/>
      <c r="E196" s="121" t="s">
        <v>743</v>
      </c>
      <c r="F196" s="23">
        <f>VLOOKUP(B196,PL!$B$1:$O$86,14,TRUE)</f>
        <v>34699.87</v>
      </c>
      <c r="G196" s="125">
        <f>G63-G123+F211</f>
        <v>3.725290298461914E-09</v>
      </c>
      <c r="I196" s="6"/>
      <c r="K196" s="122">
        <v>676711</v>
      </c>
      <c r="M196">
        <f aca="true" t="shared" si="7" ref="M196:M207">B204-K196</f>
        <v>0</v>
      </c>
    </row>
    <row r="197" spans="1:13" ht="12.75">
      <c r="A197" s="6"/>
      <c r="B197" s="121">
        <v>571650</v>
      </c>
      <c r="C197" s="120"/>
      <c r="D197" s="120"/>
      <c r="E197" s="121" t="s">
        <v>958</v>
      </c>
      <c r="F197" s="23">
        <f>VLOOKUP(B197,PL!$B$1:$O$107,14,TRUE)</f>
        <v>117887.9</v>
      </c>
      <c r="G197" s="125"/>
      <c r="I197" s="6"/>
      <c r="K197" s="122">
        <v>676714</v>
      </c>
      <c r="M197">
        <f t="shared" si="7"/>
        <v>0</v>
      </c>
    </row>
    <row r="198" spans="2:13" ht="12.75">
      <c r="B198" s="121">
        <v>663100</v>
      </c>
      <c r="C198" s="120"/>
      <c r="D198" s="120"/>
      <c r="E198" s="123" t="s">
        <v>946</v>
      </c>
      <c r="F198" s="23">
        <v>0</v>
      </c>
      <c r="I198" s="6"/>
      <c r="K198" s="122">
        <v>676719</v>
      </c>
      <c r="M198">
        <f t="shared" si="7"/>
        <v>0</v>
      </c>
    </row>
    <row r="199" spans="2:13" ht="12.75">
      <c r="B199" s="164">
        <v>671100</v>
      </c>
      <c r="C199" s="163"/>
      <c r="D199" s="163"/>
      <c r="E199" s="123" t="s">
        <v>967</v>
      </c>
      <c r="F199" s="23">
        <f>VLOOKUP(B199,PL!$B$1:$O$107,14,TRUE)</f>
        <v>0</v>
      </c>
      <c r="G199" s="23">
        <f>G196+PL!O114</f>
        <v>1532472.1400000043</v>
      </c>
      <c r="I199" s="6"/>
      <c r="K199" s="122">
        <v>676720</v>
      </c>
      <c r="M199">
        <f t="shared" si="7"/>
        <v>0</v>
      </c>
    </row>
    <row r="200" spans="2:13" ht="12.75">
      <c r="B200" s="142" t="s">
        <v>947</v>
      </c>
      <c r="C200" s="120"/>
      <c r="D200" s="120"/>
      <c r="E200" s="123" t="s">
        <v>748</v>
      </c>
      <c r="F200" s="23">
        <f>PL!O98</f>
        <v>16460.73</v>
      </c>
      <c r="G200" s="23"/>
      <c r="I200" s="6"/>
      <c r="K200" s="123">
        <v>676721</v>
      </c>
      <c r="M200">
        <f t="shared" si="7"/>
        <v>0</v>
      </c>
    </row>
    <row r="201" spans="2:13" ht="12.75">
      <c r="B201" s="142" t="s">
        <v>1097</v>
      </c>
      <c r="C201" s="163"/>
      <c r="D201" s="163"/>
      <c r="E201" s="123" t="s">
        <v>1098</v>
      </c>
      <c r="F201" s="23">
        <f>PL!O99</f>
        <v>77269.53</v>
      </c>
      <c r="I201" s="6"/>
      <c r="K201" s="122">
        <v>676790</v>
      </c>
      <c r="M201">
        <f t="shared" si="7"/>
        <v>0</v>
      </c>
    </row>
    <row r="202" spans="2:13" ht="12.75">
      <c r="B202" s="142" t="s">
        <v>1090</v>
      </c>
      <c r="C202" s="120"/>
      <c r="D202" s="120"/>
      <c r="E202" s="123" t="s">
        <v>1091</v>
      </c>
      <c r="F202" s="23">
        <f>PL!O100</f>
        <v>0</v>
      </c>
      <c r="I202" s="6"/>
      <c r="M202">
        <f t="shared" si="7"/>
        <v>0</v>
      </c>
    </row>
    <row r="203" spans="2:13" ht="12.75">
      <c r="B203" s="142" t="s">
        <v>988</v>
      </c>
      <c r="C203" s="163"/>
      <c r="D203" s="163"/>
      <c r="E203" s="123" t="s">
        <v>989</v>
      </c>
      <c r="F203" s="23">
        <f>PL!O101</f>
        <v>2173558.81</v>
      </c>
      <c r="G203" s="23"/>
      <c r="I203" s="6"/>
      <c r="M203">
        <f t="shared" si="7"/>
        <v>0</v>
      </c>
    </row>
    <row r="204" spans="2:13" ht="12.75">
      <c r="B204" s="142" t="s">
        <v>948</v>
      </c>
      <c r="C204" s="120"/>
      <c r="D204" s="120"/>
      <c r="E204" s="123" t="s">
        <v>749</v>
      </c>
      <c r="F204" s="23">
        <f>PL!O102</f>
        <v>9557535</v>
      </c>
      <c r="I204" s="6"/>
      <c r="M204">
        <f t="shared" si="7"/>
        <v>0</v>
      </c>
    </row>
    <row r="205" spans="2:13" ht="12.75">
      <c r="B205" s="142" t="s">
        <v>976</v>
      </c>
      <c r="C205" s="120"/>
      <c r="D205" s="120"/>
      <c r="E205" s="123" t="s">
        <v>959</v>
      </c>
      <c r="F205" s="23">
        <v>0</v>
      </c>
      <c r="I205" s="6"/>
      <c r="M205">
        <f t="shared" si="7"/>
        <v>0</v>
      </c>
    </row>
    <row r="206" spans="2:13" ht="12.75">
      <c r="B206" s="142" t="s">
        <v>949</v>
      </c>
      <c r="C206" s="120"/>
      <c r="D206" s="120"/>
      <c r="E206" s="123" t="s">
        <v>750</v>
      </c>
      <c r="F206" s="23">
        <f>PL!O104</f>
        <v>1530000</v>
      </c>
      <c r="I206" s="6"/>
      <c r="M206">
        <f t="shared" si="7"/>
        <v>0</v>
      </c>
    </row>
    <row r="207" spans="2:13" ht="12.75">
      <c r="B207" s="142" t="s">
        <v>950</v>
      </c>
      <c r="C207" s="120"/>
      <c r="D207" s="120"/>
      <c r="E207" s="123" t="s">
        <v>751</v>
      </c>
      <c r="F207" s="23">
        <f>PL!O105</f>
        <v>1546.52</v>
      </c>
      <c r="I207" s="6"/>
      <c r="M207">
        <f t="shared" si="7"/>
        <v>0</v>
      </c>
    </row>
    <row r="208" spans="2:13" ht="12.75">
      <c r="B208" s="142" t="s">
        <v>951</v>
      </c>
      <c r="C208" s="120"/>
      <c r="D208" s="120"/>
      <c r="E208" s="123" t="s">
        <v>952</v>
      </c>
      <c r="F208" s="23">
        <f>PL!O106</f>
        <v>11638</v>
      </c>
      <c r="I208" s="6"/>
      <c r="M208">
        <f aca="true" t="shared" si="8" ref="M208:M213">B228-K208</f>
        <v>0</v>
      </c>
    </row>
    <row r="209" spans="2:13" ht="12.75">
      <c r="B209" s="142" t="s">
        <v>953</v>
      </c>
      <c r="C209" s="117"/>
      <c r="D209" s="117"/>
      <c r="E209" s="123" t="s">
        <v>752</v>
      </c>
      <c r="F209" s="23">
        <f>PL!O107</f>
        <v>0.28</v>
      </c>
      <c r="I209" s="6"/>
      <c r="M209">
        <f t="shared" si="8"/>
        <v>0</v>
      </c>
    </row>
    <row r="210" spans="5:13" ht="12.75">
      <c r="E210" s="121"/>
      <c r="I210" s="6"/>
      <c r="M210">
        <f t="shared" si="8"/>
        <v>0</v>
      </c>
    </row>
    <row r="211" spans="6:13" ht="12.75">
      <c r="F211" s="23">
        <f>SUM(F134:F197)-SUM(F198:F209)</f>
        <v>-1532472.1400000006</v>
      </c>
      <c r="I211" s="6"/>
      <c r="M211">
        <f t="shared" si="8"/>
        <v>0</v>
      </c>
    </row>
    <row r="212" spans="9:13" ht="12.75">
      <c r="I212" s="6"/>
      <c r="M212">
        <f t="shared" si="8"/>
        <v>0</v>
      </c>
    </row>
    <row r="213" spans="9:13" ht="12.75">
      <c r="I213" s="6"/>
      <c r="M213">
        <f t="shared" si="8"/>
        <v>0</v>
      </c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</sheetData>
  <sheetProtection/>
  <printOptions/>
  <pageMargins left="0.7" right="0.7" top="0.787401575" bottom="0.787401575" header="0.3" footer="0.3"/>
  <pageSetup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3"/>
  <sheetViews>
    <sheetView zoomScalePageLayoutView="0" workbookViewId="0" topLeftCell="A163">
      <selection activeCell="Q215" sqref="Q215"/>
    </sheetView>
  </sheetViews>
  <sheetFormatPr defaultColWidth="9.140625" defaultRowHeight="12.75" outlineLevelCol="1"/>
  <cols>
    <col min="1" max="1" width="1.28515625" style="0" customWidth="1"/>
    <col min="2" max="2" width="8.8515625" style="0" customWidth="1"/>
    <col min="3" max="3" width="1.57421875" style="0" customWidth="1"/>
    <col min="4" max="4" width="3.140625" style="0" customWidth="1"/>
    <col min="5" max="5" width="15.00390625" style="0" customWidth="1"/>
    <col min="6" max="6" width="6.8515625" style="0" customWidth="1"/>
    <col min="7" max="7" width="10.28125" style="0" customWidth="1"/>
    <col min="8" max="8" width="1.57421875" style="0" customWidth="1"/>
    <col min="9" max="9" width="3.140625" style="0" customWidth="1" outlineLevel="1"/>
    <col min="10" max="10" width="15.7109375" style="0" customWidth="1" outlineLevel="1"/>
    <col min="11" max="11" width="1.57421875" style="0" customWidth="1" outlineLevel="1"/>
    <col min="12" max="12" width="12.57421875" style="0" customWidth="1" outlineLevel="1"/>
    <col min="13" max="13" width="1.57421875" style="0" customWidth="1" outlineLevel="1"/>
    <col min="14" max="14" width="0.85546875" style="0" customWidth="1" outlineLevel="1"/>
    <col min="15" max="15" width="12.421875" style="0" customWidth="1" outlineLevel="1"/>
    <col min="16" max="16" width="15.7109375" style="0" customWidth="1"/>
    <col min="17" max="17" width="12.28125" style="0" bestFit="1" customWidth="1"/>
    <col min="18" max="18" width="1.28515625" style="0" customWidth="1"/>
    <col min="19" max="19" width="6.28125" style="0" customWidth="1"/>
    <col min="20" max="20" width="1.57421875" style="0" customWidth="1"/>
    <col min="21" max="21" width="3.140625" style="0" customWidth="1"/>
    <col min="22" max="22" width="16.140625" style="0" customWidth="1"/>
    <col min="23" max="23" width="6.8515625" style="0" customWidth="1"/>
    <col min="24" max="24" width="10.28125" style="0" customWidth="1"/>
    <col min="25" max="25" width="1.57421875" style="0" customWidth="1"/>
    <col min="26" max="26" width="3.140625" style="0" customWidth="1"/>
    <col min="27" max="27" width="15.7109375" style="0" customWidth="1" outlineLevel="1"/>
    <col min="28" max="28" width="1.57421875" style="0" customWidth="1" outlineLevel="1"/>
    <col min="29" max="29" width="12.57421875" style="0" customWidth="1" outlineLevel="1"/>
    <col min="30" max="30" width="1.57421875" style="0" customWidth="1" outlineLevel="1"/>
    <col min="31" max="32" width="15.7109375" style="0" customWidth="1" outlineLevel="1"/>
    <col min="33" max="33" width="15.7109375" style="0" customWidth="1"/>
    <col min="34" max="34" width="17.28125" style="0" customWidth="1"/>
  </cols>
  <sheetData>
    <row r="1" spans="1:33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8.75" customHeight="1">
      <c r="A2" s="6"/>
      <c r="B2" s="7" t="s">
        <v>269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64" t="s">
        <v>270</v>
      </c>
      <c r="P2" s="264"/>
      <c r="R2" s="115"/>
      <c r="S2" s="7" t="s">
        <v>269</v>
      </c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264" t="s">
        <v>270</v>
      </c>
      <c r="AG2" s="264"/>
    </row>
    <row r="3" spans="1:33" ht="12.75" customHeight="1" thickBot="1">
      <c r="A3" s="6"/>
      <c r="B3" s="8" t="s">
        <v>271</v>
      </c>
      <c r="C3" s="9"/>
      <c r="D3" s="9"/>
      <c r="E3" s="9"/>
      <c r="F3" s="9"/>
      <c r="G3" s="9"/>
      <c r="H3" s="10" t="s">
        <v>272</v>
      </c>
      <c r="I3" s="9"/>
      <c r="J3" s="9"/>
      <c r="K3" s="9"/>
      <c r="L3" s="10" t="s">
        <v>637</v>
      </c>
      <c r="M3" s="10" t="s">
        <v>849</v>
      </c>
      <c r="N3" s="9"/>
      <c r="O3" s="265" t="s">
        <v>273</v>
      </c>
      <c r="P3" s="265"/>
      <c r="R3" s="115"/>
      <c r="S3" s="8" t="s">
        <v>271</v>
      </c>
      <c r="T3" s="9"/>
      <c r="U3" s="9"/>
      <c r="V3" s="9"/>
      <c r="W3" s="9"/>
      <c r="X3" s="9"/>
      <c r="Y3" s="133" t="s">
        <v>272</v>
      </c>
      <c r="Z3" s="9"/>
      <c r="AA3" s="9"/>
      <c r="AB3" s="9"/>
      <c r="AC3" s="133" t="s">
        <v>1109</v>
      </c>
      <c r="AD3" s="133" t="s">
        <v>1124</v>
      </c>
      <c r="AE3" s="9"/>
      <c r="AF3" s="265" t="s">
        <v>273</v>
      </c>
      <c r="AG3" s="265"/>
    </row>
    <row r="4" spans="1:33" ht="18.75" customHeight="1" thickTop="1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115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2" customHeight="1">
      <c r="A5" s="6"/>
      <c r="B5" s="12" t="s">
        <v>274</v>
      </c>
      <c r="C5" s="6"/>
      <c r="D5" s="6"/>
      <c r="E5" s="6"/>
      <c r="F5" s="6"/>
      <c r="G5" s="6"/>
      <c r="H5" s="6"/>
      <c r="I5" s="6"/>
      <c r="J5" s="128" t="s">
        <v>275</v>
      </c>
      <c r="K5" s="261" t="s">
        <v>276</v>
      </c>
      <c r="L5" s="261"/>
      <c r="M5" s="261"/>
      <c r="N5" s="128" t="s">
        <v>276</v>
      </c>
      <c r="O5" s="128" t="s">
        <v>277</v>
      </c>
      <c r="P5" s="128" t="s">
        <v>278</v>
      </c>
      <c r="R5" s="115"/>
      <c r="S5" s="12" t="s">
        <v>274</v>
      </c>
      <c r="T5" s="115"/>
      <c r="U5" s="115"/>
      <c r="V5" s="115"/>
      <c r="W5" s="115"/>
      <c r="X5" s="115"/>
      <c r="Y5" s="115"/>
      <c r="Z5" s="115"/>
      <c r="AA5" s="216" t="s">
        <v>1084</v>
      </c>
      <c r="AB5" s="261" t="s">
        <v>1085</v>
      </c>
      <c r="AC5" s="261"/>
      <c r="AD5" s="261"/>
      <c r="AE5" s="216" t="s">
        <v>1086</v>
      </c>
      <c r="AF5" s="216" t="s">
        <v>1087</v>
      </c>
      <c r="AG5" s="216" t="s">
        <v>1088</v>
      </c>
    </row>
    <row r="6" spans="1:33" ht="12" customHeight="1">
      <c r="A6" s="6"/>
      <c r="B6" s="6"/>
      <c r="C6" s="6"/>
      <c r="D6" s="12" t="s">
        <v>279</v>
      </c>
      <c r="E6" s="6"/>
      <c r="F6" s="6"/>
      <c r="G6" s="6"/>
      <c r="H6" s="6"/>
      <c r="I6" s="6"/>
      <c r="J6" s="128" t="s">
        <v>280</v>
      </c>
      <c r="K6" s="261" t="s">
        <v>281</v>
      </c>
      <c r="L6" s="261"/>
      <c r="M6" s="261"/>
      <c r="N6" s="128" t="s">
        <v>282</v>
      </c>
      <c r="O6" s="128" t="s">
        <v>283</v>
      </c>
      <c r="P6" s="128" t="s">
        <v>280</v>
      </c>
      <c r="R6" s="115"/>
      <c r="S6" s="115"/>
      <c r="T6" s="115"/>
      <c r="U6" s="12" t="s">
        <v>279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</row>
    <row r="7" spans="1:33" ht="14.25" customHeight="1" thickBot="1">
      <c r="A7" s="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R7" s="115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2" customHeight="1">
      <c r="A8" s="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R8" s="11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1.75" customHeight="1">
      <c r="A9" s="6"/>
      <c r="B9" s="15" t="s">
        <v>284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R9" s="115"/>
      <c r="S9" s="15" t="s">
        <v>284</v>
      </c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</row>
    <row r="10" spans="1:33" ht="12" customHeight="1">
      <c r="A10" s="6"/>
      <c r="B10" s="122">
        <v>111000</v>
      </c>
      <c r="C10" s="6"/>
      <c r="D10" s="6"/>
      <c r="E10" s="16" t="s">
        <v>638</v>
      </c>
      <c r="F10" s="6"/>
      <c r="G10" s="6"/>
      <c r="H10" s="6"/>
      <c r="I10" s="6"/>
      <c r="J10" s="129">
        <v>11093</v>
      </c>
      <c r="K10" s="260">
        <v>20000</v>
      </c>
      <c r="L10" s="260"/>
      <c r="M10" s="260"/>
      <c r="N10" s="129">
        <v>14782</v>
      </c>
      <c r="O10" s="129">
        <v>5218</v>
      </c>
      <c r="P10" s="129">
        <f>AG10</f>
        <v>11595</v>
      </c>
      <c r="R10" s="115"/>
      <c r="S10" s="142" t="s">
        <v>990</v>
      </c>
      <c r="T10" s="115"/>
      <c r="U10" s="115"/>
      <c r="V10" s="123" t="s">
        <v>638</v>
      </c>
      <c r="W10" s="115"/>
      <c r="X10" s="115"/>
      <c r="Y10" s="115"/>
      <c r="Z10" s="115"/>
      <c r="AA10" s="212">
        <v>2159</v>
      </c>
      <c r="AB10" s="260">
        <v>20000</v>
      </c>
      <c r="AC10" s="260"/>
      <c r="AD10" s="260"/>
      <c r="AE10" s="212">
        <v>10564</v>
      </c>
      <c r="AF10" s="212">
        <v>9436</v>
      </c>
      <c r="AG10" s="212">
        <v>11595</v>
      </c>
    </row>
    <row r="11" spans="1:33" ht="12" customHeight="1">
      <c r="A11" s="6"/>
      <c r="B11" s="122">
        <v>111100</v>
      </c>
      <c r="C11" s="6"/>
      <c r="D11" s="6"/>
      <c r="E11" s="16" t="s">
        <v>639</v>
      </c>
      <c r="F11" s="6"/>
      <c r="G11" s="6"/>
      <c r="H11" s="6"/>
      <c r="I11" s="6"/>
      <c r="J11" s="129">
        <v>1853.61</v>
      </c>
      <c r="K11" s="260">
        <v>0</v>
      </c>
      <c r="L11" s="260"/>
      <c r="M11" s="260"/>
      <c r="N11" s="129">
        <v>452.1</v>
      </c>
      <c r="O11" s="129">
        <v>-452.1</v>
      </c>
      <c r="P11" s="129">
        <f>AG11</f>
        <v>950.4</v>
      </c>
      <c r="R11" s="115"/>
      <c r="S11" s="142" t="s">
        <v>991</v>
      </c>
      <c r="T11" s="115"/>
      <c r="U11" s="115"/>
      <c r="V11" s="123" t="s">
        <v>639</v>
      </c>
      <c r="W11" s="115"/>
      <c r="X11" s="115"/>
      <c r="Y11" s="115"/>
      <c r="Z11" s="115"/>
      <c r="AA11" s="212">
        <v>950.4</v>
      </c>
      <c r="AB11" s="260">
        <v>0</v>
      </c>
      <c r="AC11" s="260"/>
      <c r="AD11" s="260"/>
      <c r="AE11" s="212">
        <v>0</v>
      </c>
      <c r="AF11" s="212">
        <v>0</v>
      </c>
      <c r="AG11" s="212">
        <v>950.4</v>
      </c>
    </row>
    <row r="12" spans="1:33" ht="12" customHeight="1">
      <c r="A12" s="6"/>
      <c r="B12" s="122">
        <v>119100</v>
      </c>
      <c r="C12" s="6"/>
      <c r="D12" s="6"/>
      <c r="E12" s="16" t="s">
        <v>640</v>
      </c>
      <c r="F12" s="6"/>
      <c r="G12" s="6"/>
      <c r="H12" s="6"/>
      <c r="I12" s="6"/>
      <c r="J12" s="129">
        <v>10400</v>
      </c>
      <c r="K12" s="259">
        <v>45000</v>
      </c>
      <c r="L12" s="259"/>
      <c r="M12" s="259"/>
      <c r="N12" s="129">
        <v>20400</v>
      </c>
      <c r="O12" s="129">
        <v>24600</v>
      </c>
      <c r="P12" s="129">
        <f>AG12</f>
        <v>35800</v>
      </c>
      <c r="R12" s="115"/>
      <c r="S12" s="142" t="s">
        <v>992</v>
      </c>
      <c r="T12" s="115"/>
      <c r="U12" s="115"/>
      <c r="V12" s="123" t="s">
        <v>640</v>
      </c>
      <c r="W12" s="115"/>
      <c r="X12" s="115"/>
      <c r="Y12" s="115"/>
      <c r="Z12" s="115"/>
      <c r="AA12" s="212">
        <v>16300</v>
      </c>
      <c r="AB12" s="259">
        <v>40000</v>
      </c>
      <c r="AC12" s="259"/>
      <c r="AD12" s="259"/>
      <c r="AE12" s="212">
        <v>20500</v>
      </c>
      <c r="AF12" s="212">
        <v>19500</v>
      </c>
      <c r="AG12" s="212">
        <v>35800</v>
      </c>
    </row>
    <row r="13" spans="1:33" ht="12" customHeight="1">
      <c r="A13" s="6"/>
      <c r="B13" s="12" t="s">
        <v>641</v>
      </c>
      <c r="C13" s="6"/>
      <c r="D13" s="12" t="s">
        <v>642</v>
      </c>
      <c r="E13" s="6"/>
      <c r="F13" s="6"/>
      <c r="G13" s="6"/>
      <c r="H13" s="6"/>
      <c r="I13" s="6"/>
      <c r="J13" s="130">
        <v>23346.61</v>
      </c>
      <c r="K13" s="266">
        <v>65000</v>
      </c>
      <c r="L13" s="266"/>
      <c r="M13" s="266"/>
      <c r="N13" s="130">
        <v>35634.1</v>
      </c>
      <c r="O13" s="130">
        <v>29365.9</v>
      </c>
      <c r="P13" s="130">
        <f>SUM(P10:P12)</f>
        <v>48345.4</v>
      </c>
      <c r="R13" s="115"/>
      <c r="S13" s="12" t="s">
        <v>641</v>
      </c>
      <c r="T13" s="115"/>
      <c r="U13" s="12" t="s">
        <v>642</v>
      </c>
      <c r="V13" s="115"/>
      <c r="W13" s="115"/>
      <c r="X13" s="115"/>
      <c r="Y13" s="115"/>
      <c r="Z13" s="115"/>
      <c r="AA13" s="213">
        <v>19409.4</v>
      </c>
      <c r="AB13" s="266">
        <v>60000</v>
      </c>
      <c r="AC13" s="266"/>
      <c r="AD13" s="266"/>
      <c r="AE13" s="213">
        <v>31064</v>
      </c>
      <c r="AF13" s="213">
        <v>28936</v>
      </c>
      <c r="AG13" s="213">
        <v>48345.4</v>
      </c>
    </row>
    <row r="14" spans="1:33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</row>
    <row r="15" spans="1:33" ht="12" customHeight="1">
      <c r="A15" s="6"/>
      <c r="B15" s="122">
        <v>131001</v>
      </c>
      <c r="C15" s="6"/>
      <c r="D15" s="6"/>
      <c r="E15" s="123" t="s">
        <v>994</v>
      </c>
      <c r="F15" s="6"/>
      <c r="G15" s="6"/>
      <c r="H15" s="6"/>
      <c r="I15" s="6"/>
      <c r="J15" s="129">
        <v>508121.24</v>
      </c>
      <c r="K15" s="260">
        <v>2868024</v>
      </c>
      <c r="L15" s="260"/>
      <c r="M15" s="260"/>
      <c r="N15" s="129">
        <v>2953466.81</v>
      </c>
      <c r="O15" s="129">
        <v>-85442.81</v>
      </c>
      <c r="P15" s="129">
        <f>AG15</f>
        <v>1518382.25</v>
      </c>
      <c r="R15" s="115"/>
      <c r="S15" s="142" t="s">
        <v>993</v>
      </c>
      <c r="T15" s="115"/>
      <c r="U15" s="115"/>
      <c r="V15" s="123" t="s">
        <v>994</v>
      </c>
      <c r="W15" s="115"/>
      <c r="X15" s="115"/>
      <c r="Y15" s="115"/>
      <c r="Z15" s="115"/>
      <c r="AA15" s="212">
        <v>605040.26</v>
      </c>
      <c r="AB15" s="260">
        <v>3762358.65</v>
      </c>
      <c r="AC15" s="260"/>
      <c r="AD15" s="260"/>
      <c r="AE15" s="212">
        <v>2849016.66</v>
      </c>
      <c r="AF15" s="212">
        <v>913341.99</v>
      </c>
      <c r="AG15" s="212">
        <v>1518382.25</v>
      </c>
    </row>
    <row r="16" spans="1:33" ht="12" customHeight="1">
      <c r="A16" s="6"/>
      <c r="B16" s="122">
        <v>131002</v>
      </c>
      <c r="C16" s="6"/>
      <c r="D16" s="6"/>
      <c r="E16" s="16" t="s">
        <v>644</v>
      </c>
      <c r="F16" s="6"/>
      <c r="G16" s="6"/>
      <c r="H16" s="6"/>
      <c r="I16" s="6"/>
      <c r="J16" s="129">
        <v>868904.76</v>
      </c>
      <c r="K16" s="260">
        <v>4875.27</v>
      </c>
      <c r="L16" s="260"/>
      <c r="M16" s="260"/>
      <c r="N16" s="129">
        <v>714637.76</v>
      </c>
      <c r="O16" s="129">
        <v>-709762.49</v>
      </c>
      <c r="P16" s="182">
        <f aca="true" t="shared" si="0" ref="P16:P24">AG16</f>
        <v>1326373.21</v>
      </c>
      <c r="R16" s="115"/>
      <c r="S16" s="142" t="s">
        <v>995</v>
      </c>
      <c r="T16" s="115"/>
      <c r="U16" s="115"/>
      <c r="V16" s="123" t="s">
        <v>644</v>
      </c>
      <c r="W16" s="115"/>
      <c r="X16" s="115"/>
      <c r="Y16" s="115"/>
      <c r="Z16" s="115"/>
      <c r="AA16" s="212">
        <v>1289981.04</v>
      </c>
      <c r="AB16" s="260">
        <v>115821</v>
      </c>
      <c r="AC16" s="260"/>
      <c r="AD16" s="260"/>
      <c r="AE16" s="212">
        <v>79428.83</v>
      </c>
      <c r="AF16" s="212">
        <v>36392.17</v>
      </c>
      <c r="AG16" s="212">
        <v>1326373.21</v>
      </c>
    </row>
    <row r="17" spans="1:33" ht="12" customHeight="1">
      <c r="A17" s="6"/>
      <c r="B17" s="122">
        <v>131003</v>
      </c>
      <c r="C17" s="6"/>
      <c r="D17" s="6"/>
      <c r="E17" s="16" t="s">
        <v>645</v>
      </c>
      <c r="F17" s="6"/>
      <c r="G17" s="6"/>
      <c r="H17" s="6"/>
      <c r="I17" s="6"/>
      <c r="J17" s="129">
        <v>389163.64</v>
      </c>
      <c r="K17" s="260">
        <v>2472321.01</v>
      </c>
      <c r="L17" s="260"/>
      <c r="M17" s="260"/>
      <c r="N17" s="129">
        <v>2502975.88</v>
      </c>
      <c r="O17" s="129">
        <v>-30654.87</v>
      </c>
      <c r="P17" s="182">
        <f t="shared" si="0"/>
        <v>3768498.64</v>
      </c>
      <c r="R17" s="115"/>
      <c r="S17" s="142" t="s">
        <v>996</v>
      </c>
      <c r="T17" s="115"/>
      <c r="U17" s="115"/>
      <c r="V17" s="123" t="s">
        <v>645</v>
      </c>
      <c r="W17" s="115"/>
      <c r="X17" s="115"/>
      <c r="Y17" s="115"/>
      <c r="Z17" s="115"/>
      <c r="AA17" s="212">
        <v>3846714.8</v>
      </c>
      <c r="AB17" s="260">
        <v>3782084.62</v>
      </c>
      <c r="AC17" s="260"/>
      <c r="AD17" s="260"/>
      <c r="AE17" s="212">
        <v>3860300.78</v>
      </c>
      <c r="AF17" s="212">
        <v>-78216.16</v>
      </c>
      <c r="AG17" s="212">
        <v>3768498.64</v>
      </c>
    </row>
    <row r="18" spans="1:33" ht="12" customHeight="1">
      <c r="A18" s="6"/>
      <c r="B18" s="122">
        <v>131100</v>
      </c>
      <c r="C18" s="6"/>
      <c r="D18" s="6"/>
      <c r="E18" s="16" t="s">
        <v>646</v>
      </c>
      <c r="F18" s="6"/>
      <c r="G18" s="6"/>
      <c r="H18" s="6"/>
      <c r="I18" s="6"/>
      <c r="J18" s="129">
        <v>1805.48</v>
      </c>
      <c r="K18" s="260">
        <v>1184000</v>
      </c>
      <c r="L18" s="260"/>
      <c r="M18" s="260"/>
      <c r="N18" s="129">
        <v>1183935</v>
      </c>
      <c r="O18" s="129">
        <v>65</v>
      </c>
      <c r="P18" s="182">
        <f t="shared" si="0"/>
        <v>2910.19</v>
      </c>
      <c r="R18" s="115"/>
      <c r="S18" s="142" t="s">
        <v>997</v>
      </c>
      <c r="T18" s="115"/>
      <c r="U18" s="115"/>
      <c r="V18" s="123" t="s">
        <v>998</v>
      </c>
      <c r="W18" s="115"/>
      <c r="X18" s="115"/>
      <c r="Y18" s="115"/>
      <c r="Z18" s="115"/>
      <c r="AA18" s="212">
        <v>3812.19</v>
      </c>
      <c r="AB18" s="260">
        <v>434000</v>
      </c>
      <c r="AC18" s="260"/>
      <c r="AD18" s="260"/>
      <c r="AE18" s="212">
        <v>434902</v>
      </c>
      <c r="AF18" s="212">
        <v>-902</v>
      </c>
      <c r="AG18" s="212">
        <v>2910.19</v>
      </c>
    </row>
    <row r="19" spans="1:33" ht="12" customHeight="1">
      <c r="A19" s="6"/>
      <c r="B19" s="122">
        <v>131101</v>
      </c>
      <c r="C19" s="6"/>
      <c r="D19" s="6"/>
      <c r="E19" s="16" t="s">
        <v>647</v>
      </c>
      <c r="F19" s="6"/>
      <c r="G19" s="6"/>
      <c r="H19" s="6"/>
      <c r="I19" s="6"/>
      <c r="J19" s="129">
        <v>85323.79</v>
      </c>
      <c r="K19" s="260">
        <v>0</v>
      </c>
      <c r="L19" s="260"/>
      <c r="M19" s="260"/>
      <c r="N19" s="129">
        <v>65245.43</v>
      </c>
      <c r="O19" s="129">
        <v>-65245.43</v>
      </c>
      <c r="P19" s="182">
        <f t="shared" si="0"/>
        <v>67222.96</v>
      </c>
      <c r="R19" s="115"/>
      <c r="S19" s="142" t="s">
        <v>999</v>
      </c>
      <c r="T19" s="115"/>
      <c r="U19" s="115"/>
      <c r="V19" s="123" t="s">
        <v>647</v>
      </c>
      <c r="W19" s="115"/>
      <c r="X19" s="115"/>
      <c r="Y19" s="115"/>
      <c r="Z19" s="115"/>
      <c r="AA19" s="212">
        <v>67702.02</v>
      </c>
      <c r="AB19" s="260">
        <v>0</v>
      </c>
      <c r="AC19" s="260"/>
      <c r="AD19" s="260"/>
      <c r="AE19" s="212">
        <v>479.06</v>
      </c>
      <c r="AF19" s="212">
        <v>-479.06</v>
      </c>
      <c r="AG19" s="212">
        <v>67222.96</v>
      </c>
    </row>
    <row r="20" spans="1:33" ht="12" customHeight="1">
      <c r="A20" s="6"/>
      <c r="B20" s="122">
        <v>131103</v>
      </c>
      <c r="C20" s="6"/>
      <c r="D20" s="6"/>
      <c r="E20" s="16" t="s">
        <v>648</v>
      </c>
      <c r="F20" s="6"/>
      <c r="G20" s="6"/>
      <c r="H20" s="6"/>
      <c r="I20" s="6"/>
      <c r="J20" s="129">
        <v>10474.5</v>
      </c>
      <c r="K20" s="260">
        <v>578060.96</v>
      </c>
      <c r="L20" s="260"/>
      <c r="M20" s="260"/>
      <c r="N20" s="129">
        <v>583074.56</v>
      </c>
      <c r="O20" s="129">
        <v>-5013.6</v>
      </c>
      <c r="P20" s="182">
        <f t="shared" si="0"/>
        <v>-81959.57</v>
      </c>
      <c r="R20" s="115"/>
      <c r="S20" s="142" t="s">
        <v>1000</v>
      </c>
      <c r="T20" s="115"/>
      <c r="U20" s="115"/>
      <c r="V20" s="123" t="s">
        <v>648</v>
      </c>
      <c r="W20" s="115"/>
      <c r="X20" s="115"/>
      <c r="Y20" s="115"/>
      <c r="Z20" s="115"/>
      <c r="AA20" s="212">
        <v>-92530.76</v>
      </c>
      <c r="AB20" s="260">
        <v>598579</v>
      </c>
      <c r="AC20" s="260"/>
      <c r="AD20" s="260"/>
      <c r="AE20" s="212">
        <v>588007.81</v>
      </c>
      <c r="AF20" s="212">
        <v>10571.19</v>
      </c>
      <c r="AG20" s="212">
        <v>-81959.57</v>
      </c>
    </row>
    <row r="21" spans="1:33" ht="12" customHeight="1">
      <c r="A21" s="6"/>
      <c r="B21" s="122">
        <v>131201</v>
      </c>
      <c r="C21" s="6"/>
      <c r="D21" s="6"/>
      <c r="E21" s="16" t="s">
        <v>649</v>
      </c>
      <c r="F21" s="6"/>
      <c r="G21" s="6"/>
      <c r="H21" s="6"/>
      <c r="I21" s="6"/>
      <c r="J21" s="129">
        <v>-10265.69</v>
      </c>
      <c r="K21" s="260">
        <v>260368.27</v>
      </c>
      <c r="L21" s="260"/>
      <c r="M21" s="260"/>
      <c r="N21" s="129">
        <v>252605.29</v>
      </c>
      <c r="O21" s="129">
        <v>7762.98</v>
      </c>
      <c r="P21" s="182">
        <f t="shared" si="0"/>
        <v>-5964.63</v>
      </c>
      <c r="R21" s="115"/>
      <c r="S21" s="142" t="s">
        <v>1001</v>
      </c>
      <c r="T21" s="115"/>
      <c r="U21" s="115"/>
      <c r="V21" s="123" t="s">
        <v>649</v>
      </c>
      <c r="W21" s="115"/>
      <c r="X21" s="115"/>
      <c r="Y21" s="115"/>
      <c r="Z21" s="115"/>
      <c r="AA21" s="212">
        <v>-11980.51</v>
      </c>
      <c r="AB21" s="260">
        <v>6497.1</v>
      </c>
      <c r="AC21" s="260"/>
      <c r="AD21" s="260"/>
      <c r="AE21" s="212">
        <v>481.22</v>
      </c>
      <c r="AF21" s="212">
        <v>6015.88</v>
      </c>
      <c r="AG21" s="212">
        <v>-5964.63</v>
      </c>
    </row>
    <row r="22" spans="1:33" ht="12" customHeight="1">
      <c r="A22" s="6"/>
      <c r="B22" s="122">
        <v>131203</v>
      </c>
      <c r="C22" s="6"/>
      <c r="D22" s="6"/>
      <c r="E22" s="16" t="s">
        <v>650</v>
      </c>
      <c r="F22" s="6"/>
      <c r="G22" s="6"/>
      <c r="H22" s="6"/>
      <c r="I22" s="6"/>
      <c r="J22" s="129">
        <v>4885.63</v>
      </c>
      <c r="K22" s="260">
        <v>72947.2</v>
      </c>
      <c r="L22" s="260"/>
      <c r="M22" s="260"/>
      <c r="N22" s="129">
        <v>76632.25</v>
      </c>
      <c r="O22" s="129">
        <v>-3685.05</v>
      </c>
      <c r="P22" s="182">
        <f t="shared" si="0"/>
        <v>-195289</v>
      </c>
      <c r="R22" s="115"/>
      <c r="S22" s="142" t="s">
        <v>1002</v>
      </c>
      <c r="T22" s="115"/>
      <c r="U22" s="115"/>
      <c r="V22" s="123" t="s">
        <v>650</v>
      </c>
      <c r="W22" s="115"/>
      <c r="X22" s="115"/>
      <c r="Y22" s="115"/>
      <c r="Z22" s="115"/>
      <c r="AA22" s="212">
        <v>-264038.36</v>
      </c>
      <c r="AB22" s="260">
        <v>247176.2</v>
      </c>
      <c r="AC22" s="260"/>
      <c r="AD22" s="260"/>
      <c r="AE22" s="212">
        <v>178426.84</v>
      </c>
      <c r="AF22" s="212">
        <v>68749.36</v>
      </c>
      <c r="AG22" s="212">
        <v>-195289</v>
      </c>
    </row>
    <row r="23" spans="1:33" ht="12" customHeight="1">
      <c r="A23" s="6"/>
      <c r="B23" s="122">
        <v>131301</v>
      </c>
      <c r="C23" s="6"/>
      <c r="D23" s="6"/>
      <c r="E23" s="16" t="s">
        <v>651</v>
      </c>
      <c r="F23" s="6"/>
      <c r="G23" s="6"/>
      <c r="H23" s="6"/>
      <c r="I23" s="6"/>
      <c r="J23" s="129">
        <v>2390.46</v>
      </c>
      <c r="K23" s="260">
        <v>0</v>
      </c>
      <c r="L23" s="260"/>
      <c r="M23" s="260"/>
      <c r="N23" s="129">
        <v>2437.48</v>
      </c>
      <c r="O23" s="129">
        <v>-2437.48</v>
      </c>
      <c r="P23" s="182">
        <f t="shared" si="0"/>
        <v>1532.07</v>
      </c>
      <c r="R23" s="115"/>
      <c r="S23" s="142" t="s">
        <v>1003</v>
      </c>
      <c r="T23" s="115"/>
      <c r="U23" s="115"/>
      <c r="V23" s="123" t="s">
        <v>651</v>
      </c>
      <c r="W23" s="115"/>
      <c r="X23" s="115"/>
      <c r="Y23" s="115"/>
      <c r="Z23" s="115"/>
      <c r="AA23" s="212">
        <v>-61113.47</v>
      </c>
      <c r="AB23" s="260">
        <v>63163.8</v>
      </c>
      <c r="AC23" s="260"/>
      <c r="AD23" s="260"/>
      <c r="AE23" s="212">
        <v>518.26</v>
      </c>
      <c r="AF23" s="212">
        <v>62645.54</v>
      </c>
      <c r="AG23" s="212">
        <v>1532.07</v>
      </c>
    </row>
    <row r="24" spans="1:33" ht="12" customHeight="1">
      <c r="A24" s="6"/>
      <c r="B24" s="122">
        <v>131303</v>
      </c>
      <c r="C24" s="6"/>
      <c r="D24" s="6"/>
      <c r="E24" s="16" t="s">
        <v>652</v>
      </c>
      <c r="F24" s="6"/>
      <c r="G24" s="6"/>
      <c r="H24" s="6"/>
      <c r="I24" s="6"/>
      <c r="J24" s="129">
        <v>9257.73</v>
      </c>
      <c r="K24" s="259">
        <v>0</v>
      </c>
      <c r="L24" s="259"/>
      <c r="M24" s="259"/>
      <c r="N24" s="129">
        <v>9288.55</v>
      </c>
      <c r="O24" s="129">
        <v>-9288.55</v>
      </c>
      <c r="P24" s="182">
        <f t="shared" si="0"/>
        <v>9316.86</v>
      </c>
      <c r="R24" s="115"/>
      <c r="S24" s="142" t="s">
        <v>1004</v>
      </c>
      <c r="T24" s="115"/>
      <c r="U24" s="115"/>
      <c r="V24" s="123" t="s">
        <v>652</v>
      </c>
      <c r="W24" s="115"/>
      <c r="X24" s="115"/>
      <c r="Y24" s="115"/>
      <c r="Z24" s="115"/>
      <c r="AA24" s="212">
        <v>9316.86</v>
      </c>
      <c r="AB24" s="259">
        <v>0</v>
      </c>
      <c r="AC24" s="259"/>
      <c r="AD24" s="259"/>
      <c r="AE24" s="212">
        <v>0</v>
      </c>
      <c r="AF24" s="212">
        <v>0</v>
      </c>
      <c r="AG24" s="212">
        <v>9316.86</v>
      </c>
    </row>
    <row r="25" spans="1:34" ht="12" customHeight="1">
      <c r="A25" s="6"/>
      <c r="B25" s="12" t="s">
        <v>653</v>
      </c>
      <c r="C25" s="6"/>
      <c r="D25" s="12" t="s">
        <v>654</v>
      </c>
      <c r="E25" s="6"/>
      <c r="F25" s="6"/>
      <c r="G25" s="6"/>
      <c r="H25" s="6"/>
      <c r="I25" s="6"/>
      <c r="J25" s="130">
        <v>1870061.54</v>
      </c>
      <c r="K25" s="266">
        <v>7440596.71</v>
      </c>
      <c r="L25" s="266"/>
      <c r="M25" s="266"/>
      <c r="N25" s="130">
        <v>8344299.01</v>
      </c>
      <c r="O25" s="130">
        <v>-903702.3</v>
      </c>
      <c r="P25" s="130">
        <f>SUM(P15:P24)</f>
        <v>6411022.98</v>
      </c>
      <c r="R25" s="115"/>
      <c r="S25" s="12" t="s">
        <v>653</v>
      </c>
      <c r="T25" s="115"/>
      <c r="U25" s="12" t="s">
        <v>654</v>
      </c>
      <c r="V25" s="115"/>
      <c r="W25" s="115"/>
      <c r="X25" s="115"/>
      <c r="Y25" s="115"/>
      <c r="Z25" s="115"/>
      <c r="AA25" s="213">
        <v>5392904.07</v>
      </c>
      <c r="AB25" s="266">
        <v>9009680.37</v>
      </c>
      <c r="AC25" s="266"/>
      <c r="AD25" s="266"/>
      <c r="AE25" s="213">
        <v>7991561.46</v>
      </c>
      <c r="AF25" s="213">
        <v>1018118.91</v>
      </c>
      <c r="AG25" s="213">
        <v>6411022.98</v>
      </c>
      <c r="AH25" s="174"/>
    </row>
    <row r="26" spans="1:33" ht="12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</row>
    <row r="27" spans="1:33" ht="12" customHeight="1">
      <c r="A27" s="6"/>
      <c r="B27" s="122">
        <v>181000</v>
      </c>
      <c r="C27" s="6"/>
      <c r="D27" s="6"/>
      <c r="E27" s="16" t="s">
        <v>655</v>
      </c>
      <c r="F27" s="6"/>
      <c r="G27" s="6"/>
      <c r="H27" s="6"/>
      <c r="I27" s="6"/>
      <c r="J27" s="129">
        <v>0</v>
      </c>
      <c r="K27" s="260">
        <v>3940194</v>
      </c>
      <c r="L27" s="260"/>
      <c r="M27" s="260"/>
      <c r="N27" s="129">
        <v>3940194</v>
      </c>
      <c r="O27" s="129">
        <v>0</v>
      </c>
      <c r="P27" s="129">
        <v>0</v>
      </c>
      <c r="R27" s="115"/>
      <c r="S27" s="142" t="s">
        <v>1005</v>
      </c>
      <c r="T27" s="115"/>
      <c r="U27" s="115"/>
      <c r="V27" s="123" t="s">
        <v>655</v>
      </c>
      <c r="W27" s="115"/>
      <c r="X27" s="115"/>
      <c r="Y27" s="115"/>
      <c r="Z27" s="115"/>
      <c r="AA27" s="212">
        <v>0</v>
      </c>
      <c r="AB27" s="260">
        <v>4360687.18</v>
      </c>
      <c r="AC27" s="260"/>
      <c r="AD27" s="260"/>
      <c r="AE27" s="212">
        <v>4360687.18</v>
      </c>
      <c r="AF27" s="212">
        <v>0</v>
      </c>
      <c r="AG27" s="212">
        <v>0</v>
      </c>
    </row>
    <row r="28" spans="1:33" ht="12" customHeight="1">
      <c r="A28" s="6"/>
      <c r="B28" s="122">
        <v>181002</v>
      </c>
      <c r="C28" s="6"/>
      <c r="D28" s="6"/>
      <c r="E28" s="16" t="s">
        <v>756</v>
      </c>
      <c r="F28" s="6"/>
      <c r="G28" s="6"/>
      <c r="H28" s="6"/>
      <c r="I28" s="6"/>
      <c r="J28" s="129">
        <v>0</v>
      </c>
      <c r="K28" s="260">
        <v>20000</v>
      </c>
      <c r="L28" s="260"/>
      <c r="M28" s="260"/>
      <c r="N28" s="129">
        <v>20000</v>
      </c>
      <c r="O28" s="129">
        <v>0</v>
      </c>
      <c r="P28" s="129">
        <v>0</v>
      </c>
      <c r="R28" s="115"/>
      <c r="S28" s="142" t="s">
        <v>1125</v>
      </c>
      <c r="T28" s="115"/>
      <c r="U28" s="115"/>
      <c r="V28" s="123" t="s">
        <v>756</v>
      </c>
      <c r="W28" s="115"/>
      <c r="X28" s="115"/>
      <c r="Y28" s="115"/>
      <c r="Z28" s="115"/>
      <c r="AA28" s="212">
        <v>0</v>
      </c>
      <c r="AB28" s="260">
        <v>20000</v>
      </c>
      <c r="AC28" s="260"/>
      <c r="AD28" s="260"/>
      <c r="AE28" s="212">
        <v>20000</v>
      </c>
      <c r="AF28" s="212">
        <v>0</v>
      </c>
      <c r="AG28" s="212">
        <v>0</v>
      </c>
    </row>
    <row r="29" spans="1:33" ht="12" customHeight="1">
      <c r="A29" s="6"/>
      <c r="B29" s="122">
        <v>181003</v>
      </c>
      <c r="C29" s="6"/>
      <c r="D29" s="6"/>
      <c r="E29" s="16" t="s">
        <v>656</v>
      </c>
      <c r="F29" s="6"/>
      <c r="G29" s="6"/>
      <c r="H29" s="6"/>
      <c r="I29" s="6"/>
      <c r="J29" s="129">
        <v>0</v>
      </c>
      <c r="K29" s="259">
        <v>27085.73</v>
      </c>
      <c r="L29" s="259"/>
      <c r="M29" s="259"/>
      <c r="N29" s="129">
        <v>27085.73</v>
      </c>
      <c r="O29" s="129">
        <v>0</v>
      </c>
      <c r="P29" s="129">
        <v>0</v>
      </c>
      <c r="R29" s="115"/>
      <c r="S29" s="142" t="s">
        <v>1006</v>
      </c>
      <c r="T29" s="115"/>
      <c r="U29" s="115"/>
      <c r="V29" s="123" t="s">
        <v>656</v>
      </c>
      <c r="W29" s="115"/>
      <c r="X29" s="115"/>
      <c r="Y29" s="115"/>
      <c r="Z29" s="115"/>
      <c r="AA29" s="212">
        <v>-2267.9</v>
      </c>
      <c r="AB29" s="259">
        <v>62017.07</v>
      </c>
      <c r="AC29" s="259"/>
      <c r="AD29" s="259"/>
      <c r="AE29" s="212">
        <v>59749.17</v>
      </c>
      <c r="AF29" s="212">
        <v>2267.9</v>
      </c>
      <c r="AG29" s="212">
        <v>0</v>
      </c>
    </row>
    <row r="30" spans="1:33" ht="12" customHeight="1">
      <c r="A30" s="6"/>
      <c r="B30" s="12" t="s">
        <v>657</v>
      </c>
      <c r="C30" s="6"/>
      <c r="D30" s="6"/>
      <c r="E30" s="6"/>
      <c r="F30" s="6"/>
      <c r="G30" s="6"/>
      <c r="H30" s="6"/>
      <c r="I30" s="6"/>
      <c r="J30" s="130">
        <v>0</v>
      </c>
      <c r="K30" s="266">
        <v>3987279.73</v>
      </c>
      <c r="L30" s="266"/>
      <c r="M30" s="266"/>
      <c r="N30" s="130">
        <v>3987279.73</v>
      </c>
      <c r="O30" s="130">
        <v>0</v>
      </c>
      <c r="P30" s="130">
        <v>0</v>
      </c>
      <c r="R30" s="115"/>
      <c r="S30" s="12" t="s">
        <v>657</v>
      </c>
      <c r="T30" s="115"/>
      <c r="U30" s="115"/>
      <c r="V30" s="115"/>
      <c r="W30" s="115"/>
      <c r="X30" s="115"/>
      <c r="Y30" s="115"/>
      <c r="Z30" s="115"/>
      <c r="AA30" s="213">
        <v>-2267.9</v>
      </c>
      <c r="AB30" s="266">
        <v>4442704.25</v>
      </c>
      <c r="AC30" s="266"/>
      <c r="AD30" s="266"/>
      <c r="AE30" s="213">
        <v>4440436.35</v>
      </c>
      <c r="AF30" s="213">
        <v>2267.9</v>
      </c>
      <c r="AG30" s="213">
        <v>0</v>
      </c>
    </row>
    <row r="31" spans="1:33" ht="12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</row>
    <row r="32" spans="1:33" ht="12" customHeight="1">
      <c r="A32" s="6"/>
      <c r="B32" s="12" t="s">
        <v>658</v>
      </c>
      <c r="C32" s="6"/>
      <c r="D32" s="6"/>
      <c r="E32" s="6"/>
      <c r="F32" s="6"/>
      <c r="G32" s="6"/>
      <c r="H32" s="6"/>
      <c r="I32" s="17"/>
      <c r="J32" s="130">
        <v>1893408.15</v>
      </c>
      <c r="K32" s="266">
        <v>11492876.44</v>
      </c>
      <c r="L32" s="266"/>
      <c r="M32" s="266"/>
      <c r="N32" s="130">
        <v>12367212.84</v>
      </c>
      <c r="O32" s="130">
        <v>-874336.4</v>
      </c>
      <c r="P32" s="130">
        <f>P25+P13</f>
        <v>6459368.380000001</v>
      </c>
      <c r="Q32" s="23"/>
      <c r="R32" s="115"/>
      <c r="S32" s="12" t="s">
        <v>658</v>
      </c>
      <c r="T32" s="115"/>
      <c r="U32" s="115"/>
      <c r="V32" s="115"/>
      <c r="W32" s="115"/>
      <c r="X32" s="115"/>
      <c r="Y32" s="115"/>
      <c r="Z32" s="17"/>
      <c r="AA32" s="213">
        <v>5410045.57</v>
      </c>
      <c r="AB32" s="266">
        <v>13512384.62</v>
      </c>
      <c r="AC32" s="266"/>
      <c r="AD32" s="266"/>
      <c r="AE32" s="213">
        <v>12463061.81</v>
      </c>
      <c r="AF32" s="213">
        <v>1049322.81</v>
      </c>
      <c r="AG32" s="213">
        <v>6459368.38</v>
      </c>
    </row>
    <row r="33" spans="1:34" ht="1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77"/>
    </row>
    <row r="34" spans="1:33" ht="12" customHeight="1">
      <c r="A34" s="6"/>
      <c r="B34" s="122">
        <v>211100</v>
      </c>
      <c r="C34" s="6"/>
      <c r="D34" s="6"/>
      <c r="E34" s="16" t="s">
        <v>286</v>
      </c>
      <c r="F34" s="6"/>
      <c r="G34" s="6"/>
      <c r="H34" s="6"/>
      <c r="I34" s="6"/>
      <c r="J34" s="129">
        <v>0</v>
      </c>
      <c r="K34" s="260">
        <v>0</v>
      </c>
      <c r="L34" s="260"/>
      <c r="M34" s="260"/>
      <c r="N34" s="129">
        <v>0</v>
      </c>
      <c r="O34" s="129">
        <v>0</v>
      </c>
      <c r="P34" s="129">
        <v>0</v>
      </c>
      <c r="R34" s="115"/>
      <c r="S34" s="142" t="s">
        <v>1007</v>
      </c>
      <c r="T34" s="115"/>
      <c r="U34" s="115"/>
      <c r="V34" s="123" t="s">
        <v>286</v>
      </c>
      <c r="W34" s="115"/>
      <c r="X34" s="115"/>
      <c r="Y34" s="115"/>
      <c r="Z34" s="115"/>
      <c r="AA34" s="212">
        <v>0</v>
      </c>
      <c r="AB34" s="260">
        <v>0</v>
      </c>
      <c r="AC34" s="260"/>
      <c r="AD34" s="260"/>
      <c r="AE34" s="212">
        <v>0</v>
      </c>
      <c r="AF34" s="212">
        <v>0</v>
      </c>
      <c r="AG34" s="212">
        <v>0</v>
      </c>
    </row>
    <row r="35" spans="1:33" ht="12" customHeight="1">
      <c r="A35" s="6"/>
      <c r="B35" s="122">
        <v>211200</v>
      </c>
      <c r="C35" s="6"/>
      <c r="D35" s="6"/>
      <c r="E35" s="16" t="s">
        <v>287</v>
      </c>
      <c r="F35" s="6"/>
      <c r="G35" s="6"/>
      <c r="H35" s="6"/>
      <c r="I35" s="6"/>
      <c r="J35" s="129">
        <v>0</v>
      </c>
      <c r="K35" s="259">
        <v>0</v>
      </c>
      <c r="L35" s="259"/>
      <c r="M35" s="259"/>
      <c r="N35" s="129">
        <v>0</v>
      </c>
      <c r="O35" s="129">
        <v>0</v>
      </c>
      <c r="P35" s="129">
        <v>0</v>
      </c>
      <c r="R35" s="115"/>
      <c r="S35" s="142" t="s">
        <v>1008</v>
      </c>
      <c r="T35" s="115"/>
      <c r="U35" s="115"/>
      <c r="V35" s="123" t="s">
        <v>287</v>
      </c>
      <c r="W35" s="115"/>
      <c r="X35" s="115"/>
      <c r="Y35" s="115"/>
      <c r="Z35" s="115"/>
      <c r="AA35" s="212">
        <v>0</v>
      </c>
      <c r="AB35" s="259">
        <v>0</v>
      </c>
      <c r="AC35" s="259"/>
      <c r="AD35" s="259"/>
      <c r="AE35" s="212">
        <v>0</v>
      </c>
      <c r="AF35" s="212">
        <v>0</v>
      </c>
      <c r="AG35" s="212">
        <v>0</v>
      </c>
    </row>
    <row r="36" spans="1:33" ht="12" customHeight="1">
      <c r="A36" s="6"/>
      <c r="B36" s="12" t="s">
        <v>288</v>
      </c>
      <c r="C36" s="6"/>
      <c r="D36" s="12" t="s">
        <v>285</v>
      </c>
      <c r="E36" s="6"/>
      <c r="F36" s="6"/>
      <c r="G36" s="6"/>
      <c r="H36" s="6"/>
      <c r="I36" s="6"/>
      <c r="J36" s="130">
        <v>0</v>
      </c>
      <c r="K36" s="266">
        <v>0</v>
      </c>
      <c r="L36" s="266"/>
      <c r="M36" s="266"/>
      <c r="N36" s="130">
        <v>0</v>
      </c>
      <c r="O36" s="130">
        <v>0</v>
      </c>
      <c r="P36" s="130">
        <v>0</v>
      </c>
      <c r="R36" s="115"/>
      <c r="S36" s="12" t="s">
        <v>288</v>
      </c>
      <c r="T36" s="115"/>
      <c r="U36" s="12" t="s">
        <v>285</v>
      </c>
      <c r="V36" s="115"/>
      <c r="W36" s="115"/>
      <c r="X36" s="115"/>
      <c r="Y36" s="115"/>
      <c r="Z36" s="115"/>
      <c r="AA36" s="213">
        <v>0</v>
      </c>
      <c r="AB36" s="266">
        <v>0</v>
      </c>
      <c r="AC36" s="266"/>
      <c r="AD36" s="266"/>
      <c r="AE36" s="213">
        <v>0</v>
      </c>
      <c r="AF36" s="213">
        <v>0</v>
      </c>
      <c r="AG36" s="213">
        <v>0</v>
      </c>
    </row>
    <row r="37" spans="1:33" ht="12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</row>
    <row r="38" spans="1:33" ht="12" customHeight="1">
      <c r="A38" s="6"/>
      <c r="B38" s="122">
        <v>221101</v>
      </c>
      <c r="C38" s="6"/>
      <c r="D38" s="6"/>
      <c r="E38" s="16" t="s">
        <v>289</v>
      </c>
      <c r="F38" s="6"/>
      <c r="G38" s="6"/>
      <c r="H38" s="6"/>
      <c r="I38" s="6"/>
      <c r="J38" s="129">
        <v>0</v>
      </c>
      <c r="K38" s="260">
        <v>0</v>
      </c>
      <c r="L38" s="260"/>
      <c r="M38" s="260"/>
      <c r="N38" s="129">
        <v>0</v>
      </c>
      <c r="O38" s="129">
        <v>0</v>
      </c>
      <c r="P38" s="129">
        <v>0</v>
      </c>
      <c r="R38" s="115"/>
      <c r="S38" s="142" t="s">
        <v>1009</v>
      </c>
      <c r="T38" s="115"/>
      <c r="U38" s="115"/>
      <c r="V38" s="123" t="s">
        <v>289</v>
      </c>
      <c r="W38" s="115"/>
      <c r="X38" s="115"/>
      <c r="Y38" s="115"/>
      <c r="Z38" s="115"/>
      <c r="AA38" s="212">
        <v>0</v>
      </c>
      <c r="AB38" s="260">
        <v>0</v>
      </c>
      <c r="AC38" s="260"/>
      <c r="AD38" s="260"/>
      <c r="AE38" s="212">
        <v>0</v>
      </c>
      <c r="AF38" s="212">
        <v>0</v>
      </c>
      <c r="AG38" s="212">
        <v>0</v>
      </c>
    </row>
    <row r="39" spans="1:33" ht="12" customHeight="1">
      <c r="A39" s="6"/>
      <c r="B39" s="122">
        <v>221103</v>
      </c>
      <c r="C39" s="6"/>
      <c r="D39" s="6"/>
      <c r="E39" s="16" t="s">
        <v>290</v>
      </c>
      <c r="F39" s="6"/>
      <c r="G39" s="6"/>
      <c r="H39" s="6"/>
      <c r="I39" s="6"/>
      <c r="J39" s="129">
        <v>0</v>
      </c>
      <c r="K39" s="260">
        <v>0</v>
      </c>
      <c r="L39" s="260"/>
      <c r="M39" s="260"/>
      <c r="N39" s="129">
        <v>0</v>
      </c>
      <c r="O39" s="129">
        <v>0</v>
      </c>
      <c r="P39" s="129">
        <v>0</v>
      </c>
      <c r="R39" s="115"/>
      <c r="S39" s="142" t="s">
        <v>1010</v>
      </c>
      <c r="T39" s="115"/>
      <c r="U39" s="115"/>
      <c r="V39" s="123" t="s">
        <v>290</v>
      </c>
      <c r="W39" s="115"/>
      <c r="X39" s="115"/>
      <c r="Y39" s="115"/>
      <c r="Z39" s="115"/>
      <c r="AA39" s="212">
        <v>0</v>
      </c>
      <c r="AB39" s="260">
        <v>0</v>
      </c>
      <c r="AC39" s="260"/>
      <c r="AD39" s="260"/>
      <c r="AE39" s="212">
        <v>0</v>
      </c>
      <c r="AF39" s="212">
        <v>0</v>
      </c>
      <c r="AG39" s="212">
        <v>0</v>
      </c>
    </row>
    <row r="40" spans="1:33" ht="12" customHeight="1">
      <c r="A40" s="6"/>
      <c r="B40" s="122">
        <v>221201</v>
      </c>
      <c r="C40" s="6"/>
      <c r="D40" s="6"/>
      <c r="E40" s="16" t="s">
        <v>291</v>
      </c>
      <c r="F40" s="6"/>
      <c r="G40" s="6"/>
      <c r="H40" s="6"/>
      <c r="I40" s="6"/>
      <c r="J40" s="129">
        <v>0</v>
      </c>
      <c r="K40" s="260">
        <v>0</v>
      </c>
      <c r="L40" s="260"/>
      <c r="M40" s="260"/>
      <c r="N40" s="129">
        <v>0</v>
      </c>
      <c r="O40" s="129">
        <v>0</v>
      </c>
      <c r="P40" s="129">
        <v>0</v>
      </c>
      <c r="R40" s="115"/>
      <c r="S40" s="142" t="s">
        <v>1011</v>
      </c>
      <c r="T40" s="115"/>
      <c r="U40" s="115"/>
      <c r="V40" s="123" t="s">
        <v>291</v>
      </c>
      <c r="W40" s="115"/>
      <c r="X40" s="115"/>
      <c r="Y40" s="115"/>
      <c r="Z40" s="115"/>
      <c r="AA40" s="212">
        <v>0</v>
      </c>
      <c r="AB40" s="260">
        <v>0</v>
      </c>
      <c r="AC40" s="260"/>
      <c r="AD40" s="260"/>
      <c r="AE40" s="212">
        <v>0</v>
      </c>
      <c r="AF40" s="212">
        <v>0</v>
      </c>
      <c r="AG40" s="212">
        <v>0</v>
      </c>
    </row>
    <row r="41" spans="1:33" ht="12" customHeight="1">
      <c r="A41" s="6"/>
      <c r="B41" s="122">
        <v>221203</v>
      </c>
      <c r="C41" s="6"/>
      <c r="D41" s="6"/>
      <c r="E41" s="16" t="s">
        <v>292</v>
      </c>
      <c r="F41" s="6"/>
      <c r="G41" s="6"/>
      <c r="H41" s="6"/>
      <c r="I41" s="6"/>
      <c r="J41" s="129">
        <v>0</v>
      </c>
      <c r="K41" s="260">
        <v>0</v>
      </c>
      <c r="L41" s="260"/>
      <c r="M41" s="260"/>
      <c r="N41" s="129">
        <v>0</v>
      </c>
      <c r="O41" s="129">
        <v>0</v>
      </c>
      <c r="P41" s="129">
        <v>0</v>
      </c>
      <c r="R41" s="115"/>
      <c r="S41" s="142" t="s">
        <v>1012</v>
      </c>
      <c r="T41" s="115"/>
      <c r="U41" s="115"/>
      <c r="V41" s="123" t="s">
        <v>292</v>
      </c>
      <c r="W41" s="115"/>
      <c r="X41" s="115"/>
      <c r="Y41" s="115"/>
      <c r="Z41" s="115"/>
      <c r="AA41" s="212">
        <v>0</v>
      </c>
      <c r="AB41" s="260">
        <v>0</v>
      </c>
      <c r="AC41" s="260"/>
      <c r="AD41" s="260"/>
      <c r="AE41" s="212">
        <v>0</v>
      </c>
      <c r="AF41" s="212">
        <v>0</v>
      </c>
      <c r="AG41" s="212">
        <v>0</v>
      </c>
    </row>
    <row r="42" spans="1:33" ht="12" customHeight="1">
      <c r="A42" s="6"/>
      <c r="B42" s="122">
        <v>221301</v>
      </c>
      <c r="C42" s="6"/>
      <c r="D42" s="6"/>
      <c r="E42" s="16" t="s">
        <v>293</v>
      </c>
      <c r="F42" s="6"/>
      <c r="G42" s="6"/>
      <c r="H42" s="6"/>
      <c r="I42" s="6"/>
      <c r="J42" s="129">
        <v>0</v>
      </c>
      <c r="K42" s="260">
        <v>0</v>
      </c>
      <c r="L42" s="260"/>
      <c r="M42" s="260"/>
      <c r="N42" s="129">
        <v>0</v>
      </c>
      <c r="O42" s="129">
        <v>0</v>
      </c>
      <c r="P42" s="129">
        <v>0</v>
      </c>
      <c r="R42" s="115"/>
      <c r="S42" s="142" t="s">
        <v>1013</v>
      </c>
      <c r="T42" s="115"/>
      <c r="U42" s="115"/>
      <c r="V42" s="123" t="s">
        <v>293</v>
      </c>
      <c r="W42" s="115"/>
      <c r="X42" s="115"/>
      <c r="Y42" s="115"/>
      <c r="Z42" s="115"/>
      <c r="AA42" s="212">
        <v>0</v>
      </c>
      <c r="AB42" s="260">
        <v>0</v>
      </c>
      <c r="AC42" s="260"/>
      <c r="AD42" s="260"/>
      <c r="AE42" s="212">
        <v>0</v>
      </c>
      <c r="AF42" s="212">
        <v>0</v>
      </c>
      <c r="AG42" s="212">
        <v>0</v>
      </c>
    </row>
    <row r="43" spans="1:33" ht="12" customHeight="1">
      <c r="A43" s="6"/>
      <c r="B43" s="122">
        <v>221303</v>
      </c>
      <c r="C43" s="6"/>
      <c r="D43" s="6"/>
      <c r="E43" s="16" t="s">
        <v>294</v>
      </c>
      <c r="F43" s="6"/>
      <c r="G43" s="6"/>
      <c r="H43" s="6"/>
      <c r="I43" s="6"/>
      <c r="J43" s="129">
        <v>0</v>
      </c>
      <c r="K43" s="259">
        <v>0</v>
      </c>
      <c r="L43" s="259"/>
      <c r="M43" s="259"/>
      <c r="N43" s="129">
        <v>0</v>
      </c>
      <c r="O43" s="129">
        <v>0</v>
      </c>
      <c r="P43" s="129">
        <v>0</v>
      </c>
      <c r="R43" s="115"/>
      <c r="S43" s="142" t="s">
        <v>1014</v>
      </c>
      <c r="T43" s="115"/>
      <c r="U43" s="115"/>
      <c r="V43" s="123" t="s">
        <v>294</v>
      </c>
      <c r="W43" s="115"/>
      <c r="X43" s="115"/>
      <c r="Y43" s="115"/>
      <c r="Z43" s="115"/>
      <c r="AA43" s="212">
        <v>0</v>
      </c>
      <c r="AB43" s="259">
        <v>0</v>
      </c>
      <c r="AC43" s="259"/>
      <c r="AD43" s="259"/>
      <c r="AE43" s="212">
        <v>0</v>
      </c>
      <c r="AF43" s="212">
        <v>0</v>
      </c>
      <c r="AG43" s="212">
        <v>0</v>
      </c>
    </row>
    <row r="44" spans="1:33" ht="12" customHeight="1">
      <c r="A44" s="6"/>
      <c r="B44" s="12" t="s">
        <v>295</v>
      </c>
      <c r="C44" s="6"/>
      <c r="D44" s="12" t="s">
        <v>296</v>
      </c>
      <c r="E44" s="6"/>
      <c r="F44" s="6"/>
      <c r="G44" s="6"/>
      <c r="H44" s="6"/>
      <c r="I44" s="6"/>
      <c r="J44" s="130">
        <v>0</v>
      </c>
      <c r="K44" s="266">
        <v>0</v>
      </c>
      <c r="L44" s="266"/>
      <c r="M44" s="266"/>
      <c r="N44" s="130">
        <v>0</v>
      </c>
      <c r="O44" s="130">
        <v>0</v>
      </c>
      <c r="P44" s="130">
        <v>0</v>
      </c>
      <c r="R44" s="115"/>
      <c r="S44" s="12" t="s">
        <v>295</v>
      </c>
      <c r="T44" s="115"/>
      <c r="U44" s="12" t="s">
        <v>296</v>
      </c>
      <c r="V44" s="115"/>
      <c r="W44" s="115"/>
      <c r="X44" s="115"/>
      <c r="Y44" s="115"/>
      <c r="Z44" s="115"/>
      <c r="AA44" s="213">
        <v>0</v>
      </c>
      <c r="AB44" s="266">
        <v>0</v>
      </c>
      <c r="AC44" s="266"/>
      <c r="AD44" s="266"/>
      <c r="AE44" s="213">
        <v>0</v>
      </c>
      <c r="AF44" s="213">
        <v>0</v>
      </c>
      <c r="AG44" s="213">
        <v>0</v>
      </c>
    </row>
    <row r="45" spans="1:33" ht="1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</row>
    <row r="46" spans="1:33" ht="12" customHeight="1">
      <c r="A46" s="6"/>
      <c r="B46" s="122">
        <v>261000</v>
      </c>
      <c r="C46" s="6"/>
      <c r="D46" s="6"/>
      <c r="E46" s="16" t="s">
        <v>297</v>
      </c>
      <c r="F46" s="6"/>
      <c r="G46" s="6"/>
      <c r="H46" s="6"/>
      <c r="I46" s="6"/>
      <c r="J46" s="129">
        <v>0</v>
      </c>
      <c r="K46" s="260">
        <v>0</v>
      </c>
      <c r="L46" s="260"/>
      <c r="M46" s="260"/>
      <c r="N46" s="129">
        <v>0</v>
      </c>
      <c r="O46" s="129">
        <v>0</v>
      </c>
      <c r="P46" s="129">
        <v>0</v>
      </c>
      <c r="R46" s="115"/>
      <c r="S46" s="142" t="s">
        <v>1015</v>
      </c>
      <c r="T46" s="115"/>
      <c r="U46" s="115"/>
      <c r="V46" s="123" t="s">
        <v>297</v>
      </c>
      <c r="W46" s="115"/>
      <c r="X46" s="115"/>
      <c r="Y46" s="115"/>
      <c r="Z46" s="115"/>
      <c r="AA46" s="212">
        <v>0</v>
      </c>
      <c r="AB46" s="260">
        <v>0</v>
      </c>
      <c r="AC46" s="260"/>
      <c r="AD46" s="260"/>
      <c r="AE46" s="212">
        <v>0</v>
      </c>
      <c r="AF46" s="212">
        <v>0</v>
      </c>
      <c r="AG46" s="212">
        <v>0</v>
      </c>
    </row>
    <row r="47" spans="1:33" ht="12" customHeight="1">
      <c r="A47" s="6"/>
      <c r="B47" s="122">
        <v>261001</v>
      </c>
      <c r="C47" s="6"/>
      <c r="D47" s="6"/>
      <c r="E47" s="16" t="s">
        <v>297</v>
      </c>
      <c r="F47" s="6"/>
      <c r="G47" s="6"/>
      <c r="H47" s="6"/>
      <c r="I47" s="6"/>
      <c r="J47" s="129">
        <v>0</v>
      </c>
      <c r="K47" s="260">
        <v>0</v>
      </c>
      <c r="L47" s="260"/>
      <c r="M47" s="260"/>
      <c r="N47" s="129">
        <v>0</v>
      </c>
      <c r="O47" s="129">
        <v>0</v>
      </c>
      <c r="P47" s="129">
        <v>0</v>
      </c>
      <c r="R47" s="115"/>
      <c r="S47" s="142" t="s">
        <v>1016</v>
      </c>
      <c r="T47" s="115"/>
      <c r="U47" s="115"/>
      <c r="V47" s="123" t="s">
        <v>297</v>
      </c>
      <c r="W47" s="115"/>
      <c r="X47" s="115"/>
      <c r="Y47" s="115"/>
      <c r="Z47" s="115"/>
      <c r="AA47" s="212">
        <v>0</v>
      </c>
      <c r="AB47" s="260">
        <v>0</v>
      </c>
      <c r="AC47" s="260"/>
      <c r="AD47" s="260"/>
      <c r="AE47" s="212">
        <v>0</v>
      </c>
      <c r="AF47" s="212">
        <v>0</v>
      </c>
      <c r="AG47" s="212">
        <v>0</v>
      </c>
    </row>
    <row r="48" spans="1:33" ht="12" customHeight="1">
      <c r="A48" s="6"/>
      <c r="B48" s="122">
        <v>261002</v>
      </c>
      <c r="C48" s="6"/>
      <c r="D48" s="6"/>
      <c r="E48" s="16" t="s">
        <v>298</v>
      </c>
      <c r="F48" s="6"/>
      <c r="G48" s="6"/>
      <c r="H48" s="6"/>
      <c r="I48" s="6"/>
      <c r="J48" s="129">
        <v>0</v>
      </c>
      <c r="K48" s="260">
        <v>0</v>
      </c>
      <c r="L48" s="260"/>
      <c r="M48" s="260"/>
      <c r="N48" s="129">
        <v>0</v>
      </c>
      <c r="O48" s="129">
        <v>0</v>
      </c>
      <c r="P48" s="129">
        <v>0</v>
      </c>
      <c r="R48" s="115"/>
      <c r="S48" s="142" t="s">
        <v>1017</v>
      </c>
      <c r="T48" s="115"/>
      <c r="U48" s="115"/>
      <c r="V48" s="123" t="s">
        <v>298</v>
      </c>
      <c r="W48" s="115"/>
      <c r="X48" s="115"/>
      <c r="Y48" s="115"/>
      <c r="Z48" s="115"/>
      <c r="AA48" s="212">
        <v>0</v>
      </c>
      <c r="AB48" s="260">
        <v>0</v>
      </c>
      <c r="AC48" s="260"/>
      <c r="AD48" s="260"/>
      <c r="AE48" s="212">
        <v>0</v>
      </c>
      <c r="AF48" s="212">
        <v>0</v>
      </c>
      <c r="AG48" s="212">
        <v>0</v>
      </c>
    </row>
    <row r="49" spans="1:33" ht="12" customHeight="1">
      <c r="A49" s="6"/>
      <c r="B49" s="122">
        <v>261003</v>
      </c>
      <c r="C49" s="6"/>
      <c r="D49" s="6"/>
      <c r="E49" s="16" t="s">
        <v>299</v>
      </c>
      <c r="F49" s="6"/>
      <c r="G49" s="6"/>
      <c r="H49" s="6"/>
      <c r="I49" s="6"/>
      <c r="J49" s="129">
        <v>0</v>
      </c>
      <c r="K49" s="259">
        <v>0</v>
      </c>
      <c r="L49" s="259"/>
      <c r="M49" s="259"/>
      <c r="N49" s="129">
        <v>0</v>
      </c>
      <c r="O49" s="129">
        <v>0</v>
      </c>
      <c r="P49" s="129">
        <v>0</v>
      </c>
      <c r="R49" s="115"/>
      <c r="S49" s="142" t="s">
        <v>1018</v>
      </c>
      <c r="T49" s="115"/>
      <c r="U49" s="115"/>
      <c r="V49" s="123" t="s">
        <v>299</v>
      </c>
      <c r="W49" s="115"/>
      <c r="X49" s="115"/>
      <c r="Y49" s="115"/>
      <c r="Z49" s="115"/>
      <c r="AA49" s="212">
        <v>0</v>
      </c>
      <c r="AB49" s="259">
        <v>0</v>
      </c>
      <c r="AC49" s="259"/>
      <c r="AD49" s="259"/>
      <c r="AE49" s="212">
        <v>0</v>
      </c>
      <c r="AF49" s="212">
        <v>0</v>
      </c>
      <c r="AG49" s="212">
        <v>0</v>
      </c>
    </row>
    <row r="50" spans="1:33" ht="12" customHeight="1">
      <c r="A50" s="6"/>
      <c r="B50" s="12" t="s">
        <v>300</v>
      </c>
      <c r="C50" s="6"/>
      <c r="D50" s="12" t="s">
        <v>301</v>
      </c>
      <c r="E50" s="6"/>
      <c r="F50" s="6"/>
      <c r="G50" s="6"/>
      <c r="H50" s="6"/>
      <c r="I50" s="6"/>
      <c r="J50" s="130">
        <v>0</v>
      </c>
      <c r="K50" s="266">
        <v>0</v>
      </c>
      <c r="L50" s="266"/>
      <c r="M50" s="266"/>
      <c r="N50" s="130">
        <v>0</v>
      </c>
      <c r="O50" s="130">
        <v>0</v>
      </c>
      <c r="P50" s="130">
        <v>0</v>
      </c>
      <c r="R50" s="115"/>
      <c r="S50" s="12" t="s">
        <v>300</v>
      </c>
      <c r="T50" s="115"/>
      <c r="U50" s="12" t="s">
        <v>301</v>
      </c>
      <c r="V50" s="115"/>
      <c r="W50" s="115"/>
      <c r="X50" s="115"/>
      <c r="Y50" s="115"/>
      <c r="Z50" s="115"/>
      <c r="AA50" s="213">
        <v>0</v>
      </c>
      <c r="AB50" s="266">
        <v>0</v>
      </c>
      <c r="AC50" s="266"/>
      <c r="AD50" s="266"/>
      <c r="AE50" s="213">
        <v>0</v>
      </c>
      <c r="AF50" s="213">
        <v>0</v>
      </c>
      <c r="AG50" s="213">
        <v>0</v>
      </c>
    </row>
    <row r="51" spans="1:33" ht="1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</row>
    <row r="52" spans="1:33" ht="12" customHeight="1">
      <c r="A52" s="6"/>
      <c r="B52" s="12" t="s">
        <v>302</v>
      </c>
      <c r="C52" s="6"/>
      <c r="D52" s="6"/>
      <c r="E52" s="6"/>
      <c r="F52" s="6"/>
      <c r="G52" s="6"/>
      <c r="H52" s="6"/>
      <c r="I52" s="17"/>
      <c r="J52" s="130">
        <v>0</v>
      </c>
      <c r="K52" s="266">
        <v>0</v>
      </c>
      <c r="L52" s="266"/>
      <c r="M52" s="266"/>
      <c r="N52" s="130">
        <v>0</v>
      </c>
      <c r="O52" s="130">
        <v>0</v>
      </c>
      <c r="P52" s="130">
        <v>0</v>
      </c>
      <c r="R52" s="115"/>
      <c r="S52" s="12" t="s">
        <v>302</v>
      </c>
      <c r="T52" s="115"/>
      <c r="U52" s="115"/>
      <c r="V52" s="115"/>
      <c r="W52" s="115"/>
      <c r="X52" s="115"/>
      <c r="Y52" s="115"/>
      <c r="Z52" s="17"/>
      <c r="AA52" s="213">
        <v>0</v>
      </c>
      <c r="AB52" s="266">
        <v>0</v>
      </c>
      <c r="AC52" s="266"/>
      <c r="AD52" s="266"/>
      <c r="AE52" s="213">
        <v>0</v>
      </c>
      <c r="AF52" s="213">
        <v>0</v>
      </c>
      <c r="AG52" s="213">
        <v>0</v>
      </c>
    </row>
    <row r="53" spans="1:33" ht="1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</row>
    <row r="54" spans="1:33" ht="12" customHeight="1">
      <c r="A54" s="6"/>
      <c r="B54" s="122">
        <v>311100</v>
      </c>
      <c r="C54" s="6"/>
      <c r="D54" s="6"/>
      <c r="E54" s="16" t="s">
        <v>303</v>
      </c>
      <c r="F54" s="6"/>
      <c r="G54" s="6"/>
      <c r="H54" s="6"/>
      <c r="I54" s="6"/>
      <c r="J54" s="129">
        <v>0</v>
      </c>
      <c r="K54" s="260">
        <v>0</v>
      </c>
      <c r="L54" s="260"/>
      <c r="M54" s="260"/>
      <c r="N54" s="129">
        <v>0</v>
      </c>
      <c r="O54" s="129">
        <v>0</v>
      </c>
      <c r="P54" s="129">
        <v>0</v>
      </c>
      <c r="R54" s="115"/>
      <c r="S54" s="142" t="s">
        <v>1019</v>
      </c>
      <c r="T54" s="115"/>
      <c r="U54" s="115"/>
      <c r="V54" s="123" t="s">
        <v>303</v>
      </c>
      <c r="W54" s="115"/>
      <c r="X54" s="115"/>
      <c r="Y54" s="115"/>
      <c r="Z54" s="115"/>
      <c r="AA54" s="212">
        <v>0</v>
      </c>
      <c r="AB54" s="260">
        <v>0</v>
      </c>
      <c r="AC54" s="260"/>
      <c r="AD54" s="260"/>
      <c r="AE54" s="212">
        <v>0</v>
      </c>
      <c r="AF54" s="212">
        <v>0</v>
      </c>
      <c r="AG54" s="212">
        <v>0</v>
      </c>
    </row>
    <row r="55" spans="1:33" ht="12" customHeight="1">
      <c r="A55" s="6"/>
      <c r="B55" s="122">
        <v>311200</v>
      </c>
      <c r="C55" s="6"/>
      <c r="D55" s="6"/>
      <c r="E55" s="16" t="s">
        <v>304</v>
      </c>
      <c r="F55" s="6"/>
      <c r="G55" s="6"/>
      <c r="H55" s="6"/>
      <c r="I55" s="6"/>
      <c r="J55" s="129">
        <v>0</v>
      </c>
      <c r="K55" s="260">
        <v>0</v>
      </c>
      <c r="L55" s="260"/>
      <c r="M55" s="260"/>
      <c r="N55" s="129">
        <v>0</v>
      </c>
      <c r="O55" s="129">
        <v>0</v>
      </c>
      <c r="P55" s="129">
        <v>0</v>
      </c>
      <c r="R55" s="115"/>
      <c r="S55" s="142" t="s">
        <v>1020</v>
      </c>
      <c r="T55" s="115"/>
      <c r="U55" s="115"/>
      <c r="V55" s="123" t="s">
        <v>304</v>
      </c>
      <c r="W55" s="115"/>
      <c r="X55" s="115"/>
      <c r="Y55" s="115"/>
      <c r="Z55" s="115"/>
      <c r="AA55" s="212">
        <v>0</v>
      </c>
      <c r="AB55" s="260">
        <v>0</v>
      </c>
      <c r="AC55" s="260"/>
      <c r="AD55" s="260"/>
      <c r="AE55" s="212">
        <v>0</v>
      </c>
      <c r="AF55" s="212">
        <v>0</v>
      </c>
      <c r="AG55" s="212">
        <v>0</v>
      </c>
    </row>
    <row r="56" spans="1:33" ht="12" customHeight="1">
      <c r="A56" s="6"/>
      <c r="B56" s="122">
        <v>311300</v>
      </c>
      <c r="C56" s="6"/>
      <c r="D56" s="6"/>
      <c r="E56" s="16" t="s">
        <v>305</v>
      </c>
      <c r="F56" s="6"/>
      <c r="G56" s="6"/>
      <c r="H56" s="6"/>
      <c r="I56" s="6"/>
      <c r="J56" s="129">
        <v>0</v>
      </c>
      <c r="K56" s="260">
        <v>0</v>
      </c>
      <c r="L56" s="260"/>
      <c r="M56" s="260"/>
      <c r="N56" s="129">
        <v>0</v>
      </c>
      <c r="O56" s="129">
        <v>0</v>
      </c>
      <c r="P56" s="129">
        <v>0</v>
      </c>
      <c r="R56" s="115"/>
      <c r="S56" s="142" t="s">
        <v>1021</v>
      </c>
      <c r="T56" s="115"/>
      <c r="U56" s="115"/>
      <c r="V56" s="123" t="s">
        <v>305</v>
      </c>
      <c r="W56" s="115"/>
      <c r="X56" s="115"/>
      <c r="Y56" s="115"/>
      <c r="Z56" s="115"/>
      <c r="AA56" s="212">
        <v>0</v>
      </c>
      <c r="AB56" s="260">
        <v>0</v>
      </c>
      <c r="AC56" s="260"/>
      <c r="AD56" s="260"/>
      <c r="AE56" s="212">
        <v>0</v>
      </c>
      <c r="AF56" s="212">
        <v>0</v>
      </c>
      <c r="AG56" s="212">
        <v>0</v>
      </c>
    </row>
    <row r="57" spans="1:33" ht="12" customHeight="1">
      <c r="A57" s="6"/>
      <c r="B57" s="122">
        <v>314100</v>
      </c>
      <c r="C57" s="6"/>
      <c r="D57" s="6"/>
      <c r="E57" s="16" t="s">
        <v>306</v>
      </c>
      <c r="F57" s="6"/>
      <c r="G57" s="6"/>
      <c r="H57" s="6"/>
      <c r="I57" s="6"/>
      <c r="J57" s="129">
        <v>0</v>
      </c>
      <c r="K57" s="260">
        <v>0</v>
      </c>
      <c r="L57" s="260"/>
      <c r="M57" s="260"/>
      <c r="N57" s="129">
        <v>0</v>
      </c>
      <c r="O57" s="129">
        <v>0</v>
      </c>
      <c r="P57" s="129">
        <v>0</v>
      </c>
      <c r="R57" s="115"/>
      <c r="S57" s="142" t="s">
        <v>1022</v>
      </c>
      <c r="T57" s="115"/>
      <c r="U57" s="115"/>
      <c r="V57" s="123" t="s">
        <v>306</v>
      </c>
      <c r="W57" s="115"/>
      <c r="X57" s="115"/>
      <c r="Y57" s="115"/>
      <c r="Z57" s="115"/>
      <c r="AA57" s="212">
        <v>0</v>
      </c>
      <c r="AB57" s="260">
        <v>0</v>
      </c>
      <c r="AC57" s="260"/>
      <c r="AD57" s="260"/>
      <c r="AE57" s="212">
        <v>0</v>
      </c>
      <c r="AF57" s="212">
        <v>0</v>
      </c>
      <c r="AG57" s="212">
        <v>0</v>
      </c>
    </row>
    <row r="58" spans="1:33" ht="12" customHeight="1">
      <c r="A58" s="6"/>
      <c r="B58" s="122">
        <v>314200</v>
      </c>
      <c r="C58" s="6"/>
      <c r="D58" s="6"/>
      <c r="E58" s="16" t="s">
        <v>307</v>
      </c>
      <c r="F58" s="6"/>
      <c r="G58" s="6"/>
      <c r="H58" s="6"/>
      <c r="I58" s="6"/>
      <c r="J58" s="129">
        <v>0</v>
      </c>
      <c r="K58" s="260">
        <v>0</v>
      </c>
      <c r="L58" s="260"/>
      <c r="M58" s="260"/>
      <c r="N58" s="129">
        <v>0</v>
      </c>
      <c r="O58" s="129">
        <v>0</v>
      </c>
      <c r="P58" s="129">
        <v>0</v>
      </c>
      <c r="R58" s="115"/>
      <c r="S58" s="142" t="s">
        <v>1023</v>
      </c>
      <c r="T58" s="115"/>
      <c r="U58" s="115"/>
      <c r="V58" s="123" t="s">
        <v>307</v>
      </c>
      <c r="W58" s="115"/>
      <c r="X58" s="115"/>
      <c r="Y58" s="115"/>
      <c r="Z58" s="115"/>
      <c r="AA58" s="212">
        <v>0</v>
      </c>
      <c r="AB58" s="260">
        <v>0</v>
      </c>
      <c r="AC58" s="260"/>
      <c r="AD58" s="260"/>
      <c r="AE58" s="212">
        <v>0</v>
      </c>
      <c r="AF58" s="212">
        <v>0</v>
      </c>
      <c r="AG58" s="212">
        <v>0</v>
      </c>
    </row>
    <row r="59" spans="1:33" ht="12" customHeight="1">
      <c r="A59" s="6"/>
      <c r="B59" s="122">
        <v>316200</v>
      </c>
      <c r="C59" s="6"/>
      <c r="D59" s="6"/>
      <c r="E59" s="16" t="s">
        <v>308</v>
      </c>
      <c r="F59" s="6"/>
      <c r="G59" s="6"/>
      <c r="H59" s="6"/>
      <c r="I59" s="6"/>
      <c r="J59" s="129">
        <v>0</v>
      </c>
      <c r="K59" s="259">
        <v>0</v>
      </c>
      <c r="L59" s="259"/>
      <c r="M59" s="259"/>
      <c r="N59" s="129">
        <v>0</v>
      </c>
      <c r="O59" s="129">
        <v>0</v>
      </c>
      <c r="P59" s="129">
        <v>0</v>
      </c>
      <c r="R59" s="115"/>
      <c r="S59" s="142" t="s">
        <v>1024</v>
      </c>
      <c r="T59" s="115"/>
      <c r="U59" s="115"/>
      <c r="V59" s="123" t="s">
        <v>308</v>
      </c>
      <c r="W59" s="115"/>
      <c r="X59" s="115"/>
      <c r="Y59" s="115"/>
      <c r="Z59" s="115"/>
      <c r="AA59" s="212">
        <v>0</v>
      </c>
      <c r="AB59" s="259">
        <v>0</v>
      </c>
      <c r="AC59" s="259"/>
      <c r="AD59" s="259"/>
      <c r="AE59" s="212">
        <v>0</v>
      </c>
      <c r="AF59" s="212">
        <v>0</v>
      </c>
      <c r="AG59" s="212">
        <v>0</v>
      </c>
    </row>
    <row r="60" spans="1:33" ht="12" customHeight="1">
      <c r="A60" s="6"/>
      <c r="B60" s="12" t="s">
        <v>309</v>
      </c>
      <c r="C60" s="6"/>
      <c r="D60" s="12" t="s">
        <v>310</v>
      </c>
      <c r="E60" s="6"/>
      <c r="F60" s="6"/>
      <c r="G60" s="6"/>
      <c r="H60" s="6"/>
      <c r="I60" s="6"/>
      <c r="J60" s="130">
        <v>0</v>
      </c>
      <c r="K60" s="266">
        <v>0</v>
      </c>
      <c r="L60" s="266"/>
      <c r="M60" s="266"/>
      <c r="N60" s="130">
        <v>0</v>
      </c>
      <c r="O60" s="130">
        <v>0</v>
      </c>
      <c r="P60" s="130">
        <v>0</v>
      </c>
      <c r="R60" s="115"/>
      <c r="S60" s="12" t="s">
        <v>309</v>
      </c>
      <c r="T60" s="115"/>
      <c r="U60" s="12" t="s">
        <v>310</v>
      </c>
      <c r="V60" s="115"/>
      <c r="W60" s="115"/>
      <c r="X60" s="115"/>
      <c r="Y60" s="115"/>
      <c r="Z60" s="115"/>
      <c r="AA60" s="213">
        <v>0</v>
      </c>
      <c r="AB60" s="266">
        <v>0</v>
      </c>
      <c r="AC60" s="266"/>
      <c r="AD60" s="266"/>
      <c r="AE60" s="213">
        <v>0</v>
      </c>
      <c r="AF60" s="213">
        <v>0</v>
      </c>
      <c r="AG60" s="213">
        <v>0</v>
      </c>
    </row>
    <row r="61" spans="1:33" ht="1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</row>
    <row r="62" spans="1:33" ht="12" customHeight="1">
      <c r="A62" s="6"/>
      <c r="B62" s="122">
        <v>341100</v>
      </c>
      <c r="C62" s="6"/>
      <c r="D62" s="6"/>
      <c r="E62" s="16" t="s">
        <v>659</v>
      </c>
      <c r="F62" s="6"/>
      <c r="G62" s="6"/>
      <c r="H62" s="6"/>
      <c r="I62" s="6"/>
      <c r="J62" s="129">
        <v>3171371</v>
      </c>
      <c r="K62" s="260">
        <v>3679401</v>
      </c>
      <c r="L62" s="260"/>
      <c r="M62" s="260"/>
      <c r="N62" s="129">
        <v>3171371</v>
      </c>
      <c r="O62" s="129">
        <v>508030</v>
      </c>
      <c r="P62" s="129">
        <f>AG62</f>
        <v>4581740.67</v>
      </c>
      <c r="R62" s="115"/>
      <c r="S62" s="142" t="s">
        <v>1025</v>
      </c>
      <c r="T62" s="115"/>
      <c r="U62" s="115"/>
      <c r="V62" s="123" t="s">
        <v>659</v>
      </c>
      <c r="W62" s="115"/>
      <c r="X62" s="115"/>
      <c r="Y62" s="115"/>
      <c r="Z62" s="115"/>
      <c r="AA62" s="212">
        <v>4564756.14</v>
      </c>
      <c r="AB62" s="260">
        <v>4581740.67</v>
      </c>
      <c r="AC62" s="260"/>
      <c r="AD62" s="260"/>
      <c r="AE62" s="212">
        <v>4564756.14</v>
      </c>
      <c r="AF62" s="212">
        <v>16984.53</v>
      </c>
      <c r="AG62" s="212">
        <v>4581740.67</v>
      </c>
    </row>
    <row r="63" spans="1:33" ht="12" customHeight="1">
      <c r="A63" s="6"/>
      <c r="B63" s="122">
        <v>341200</v>
      </c>
      <c r="C63" s="6"/>
      <c r="D63" s="6"/>
      <c r="E63" s="16" t="s">
        <v>660</v>
      </c>
      <c r="F63" s="6"/>
      <c r="G63" s="6"/>
      <c r="H63" s="6"/>
      <c r="I63" s="6"/>
      <c r="J63" s="129">
        <v>60907.01</v>
      </c>
      <c r="K63" s="260">
        <v>60451.57</v>
      </c>
      <c r="L63" s="260"/>
      <c r="M63" s="260"/>
      <c r="N63" s="129">
        <v>61189.61</v>
      </c>
      <c r="O63" s="129">
        <v>-738.04</v>
      </c>
      <c r="P63" s="129">
        <f>AG63</f>
        <v>0</v>
      </c>
      <c r="R63" s="115"/>
      <c r="S63" s="142" t="s">
        <v>1026</v>
      </c>
      <c r="T63" s="115"/>
      <c r="U63" s="115"/>
      <c r="V63" s="123" t="s">
        <v>660</v>
      </c>
      <c r="W63" s="115"/>
      <c r="X63" s="115"/>
      <c r="Y63" s="115"/>
      <c r="Z63" s="115"/>
      <c r="AA63" s="212">
        <v>0</v>
      </c>
      <c r="AB63" s="260">
        <v>0</v>
      </c>
      <c r="AC63" s="260"/>
      <c r="AD63" s="260"/>
      <c r="AE63" s="212">
        <v>0</v>
      </c>
      <c r="AF63" s="212">
        <v>0</v>
      </c>
      <c r="AG63" s="212">
        <v>0</v>
      </c>
    </row>
    <row r="64" spans="1:33" ht="12" customHeight="1">
      <c r="A64" s="6"/>
      <c r="B64" s="122">
        <v>341400</v>
      </c>
      <c r="C64" s="6"/>
      <c r="D64" s="6"/>
      <c r="E64" s="16" t="s">
        <v>661</v>
      </c>
      <c r="F64" s="6"/>
      <c r="G64" s="6"/>
      <c r="H64" s="6"/>
      <c r="I64" s="6"/>
      <c r="J64" s="129">
        <v>186819.99</v>
      </c>
      <c r="K64" s="260">
        <v>1353.24</v>
      </c>
      <c r="L64" s="260"/>
      <c r="M64" s="260"/>
      <c r="N64" s="129">
        <v>0</v>
      </c>
      <c r="O64" s="129">
        <v>1353.24</v>
      </c>
      <c r="P64" s="129">
        <f>AG64</f>
        <v>191976.9</v>
      </c>
      <c r="R64" s="115"/>
      <c r="S64" s="142" t="s">
        <v>1027</v>
      </c>
      <c r="T64" s="115"/>
      <c r="U64" s="115"/>
      <c r="V64" s="123" t="s">
        <v>661</v>
      </c>
      <c r="W64" s="115"/>
      <c r="X64" s="115"/>
      <c r="Y64" s="115"/>
      <c r="Z64" s="115"/>
      <c r="AA64" s="212">
        <v>191976.9</v>
      </c>
      <c r="AB64" s="260">
        <v>0</v>
      </c>
      <c r="AC64" s="260"/>
      <c r="AD64" s="260"/>
      <c r="AE64" s="212">
        <v>0</v>
      </c>
      <c r="AF64" s="212">
        <v>0</v>
      </c>
      <c r="AG64" s="212">
        <v>191976.9</v>
      </c>
    </row>
    <row r="65" spans="1:33" ht="12" customHeight="1">
      <c r="A65" s="6"/>
      <c r="B65" s="123">
        <v>344100</v>
      </c>
      <c r="C65" s="115"/>
      <c r="D65" s="115"/>
      <c r="E65" s="123" t="s">
        <v>662</v>
      </c>
      <c r="F65" s="115"/>
      <c r="G65" s="115"/>
      <c r="H65" s="115"/>
      <c r="I65" s="115"/>
      <c r="J65" s="182"/>
      <c r="K65" s="182"/>
      <c r="L65" s="182"/>
      <c r="M65" s="182"/>
      <c r="N65" s="182"/>
      <c r="O65" s="182"/>
      <c r="P65" s="182">
        <f>AG66</f>
        <v>6819</v>
      </c>
      <c r="R65" s="115"/>
      <c r="S65" s="142" t="s">
        <v>1120</v>
      </c>
      <c r="T65" s="115"/>
      <c r="U65" s="115"/>
      <c r="V65" s="123" t="s">
        <v>1121</v>
      </c>
      <c r="W65" s="115"/>
      <c r="X65" s="115"/>
      <c r="Y65" s="115"/>
      <c r="Z65" s="115"/>
      <c r="AA65" s="212">
        <v>0</v>
      </c>
      <c r="AB65" s="260">
        <v>0</v>
      </c>
      <c r="AC65" s="260"/>
      <c r="AD65" s="260"/>
      <c r="AE65" s="212">
        <v>0</v>
      </c>
      <c r="AF65" s="212">
        <v>0</v>
      </c>
      <c r="AG65" s="212">
        <v>0</v>
      </c>
    </row>
    <row r="66" spans="1:33" ht="12" customHeight="1">
      <c r="A66" s="6"/>
      <c r="B66" s="173">
        <v>341500</v>
      </c>
      <c r="C66" s="6"/>
      <c r="D66" s="6"/>
      <c r="E66" s="16" t="s">
        <v>1070</v>
      </c>
      <c r="F66" s="6"/>
      <c r="G66" s="6"/>
      <c r="H66" s="6"/>
      <c r="I66" s="6"/>
      <c r="J66" s="129">
        <v>76890</v>
      </c>
      <c r="K66" s="259">
        <v>299456.9</v>
      </c>
      <c r="L66" s="259"/>
      <c r="M66" s="259"/>
      <c r="N66" s="129">
        <v>252006.7</v>
      </c>
      <c r="O66" s="129">
        <v>47450.2</v>
      </c>
      <c r="P66" s="129"/>
      <c r="R66" s="115"/>
      <c r="S66" s="142" t="s">
        <v>1028</v>
      </c>
      <c r="T66" s="115"/>
      <c r="U66" s="115"/>
      <c r="V66" s="123" t="s">
        <v>662</v>
      </c>
      <c r="W66" s="115"/>
      <c r="X66" s="115"/>
      <c r="Y66" s="115"/>
      <c r="Z66" s="115"/>
      <c r="AA66" s="212">
        <v>88764</v>
      </c>
      <c r="AB66" s="259">
        <v>127956.7</v>
      </c>
      <c r="AC66" s="259"/>
      <c r="AD66" s="259"/>
      <c r="AE66" s="212">
        <v>209901.7</v>
      </c>
      <c r="AF66" s="212">
        <v>-81945</v>
      </c>
      <c r="AG66" s="212">
        <v>6819</v>
      </c>
    </row>
    <row r="67" spans="1:33" ht="12" customHeight="1">
      <c r="A67" s="6"/>
      <c r="B67" s="12" t="s">
        <v>345</v>
      </c>
      <c r="C67" s="6"/>
      <c r="D67" s="12" t="s">
        <v>346</v>
      </c>
      <c r="E67" s="6"/>
      <c r="F67" s="6"/>
      <c r="G67" s="6"/>
      <c r="H67" s="6"/>
      <c r="I67" s="6"/>
      <c r="J67" s="130">
        <v>3495988</v>
      </c>
      <c r="K67" s="266">
        <v>4040662.71</v>
      </c>
      <c r="L67" s="266"/>
      <c r="M67" s="266"/>
      <c r="N67" s="130">
        <v>3484567.31</v>
      </c>
      <c r="O67" s="130">
        <v>556095.4</v>
      </c>
      <c r="P67" s="130">
        <f>SUM(P62:P66)</f>
        <v>4780536.57</v>
      </c>
      <c r="R67" s="115"/>
      <c r="S67" s="12" t="s">
        <v>345</v>
      </c>
      <c r="T67" s="115"/>
      <c r="U67" s="12" t="s">
        <v>346</v>
      </c>
      <c r="V67" s="115"/>
      <c r="W67" s="115"/>
      <c r="X67" s="115"/>
      <c r="Y67" s="115"/>
      <c r="Z67" s="115"/>
      <c r="AA67" s="213">
        <v>4845497.04</v>
      </c>
      <c r="AB67" s="266">
        <v>4709697.37</v>
      </c>
      <c r="AC67" s="266"/>
      <c r="AD67" s="266"/>
      <c r="AE67" s="213">
        <v>4774657.84</v>
      </c>
      <c r="AF67" s="213">
        <v>-64960.47</v>
      </c>
      <c r="AG67" s="213">
        <v>4780536.57</v>
      </c>
    </row>
    <row r="68" spans="1:34" ht="12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77"/>
    </row>
    <row r="69" spans="1:33" ht="12" customHeight="1">
      <c r="A69" s="6"/>
      <c r="B69" s="123">
        <v>351001</v>
      </c>
      <c r="C69" s="115"/>
      <c r="D69" s="115"/>
      <c r="E69" s="115" t="s">
        <v>663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59">
        <v>0</v>
      </c>
      <c r="R69" s="115"/>
      <c r="S69" s="142" t="s">
        <v>888</v>
      </c>
      <c r="T69" s="115"/>
      <c r="U69" s="115"/>
      <c r="V69" s="123" t="s">
        <v>757</v>
      </c>
      <c r="W69" s="115"/>
      <c r="X69" s="115"/>
      <c r="Y69" s="115"/>
      <c r="Z69" s="115"/>
      <c r="AA69" s="212">
        <v>0</v>
      </c>
      <c r="AB69" s="260">
        <v>12396</v>
      </c>
      <c r="AC69" s="260"/>
      <c r="AD69" s="260"/>
      <c r="AE69" s="212">
        <v>0</v>
      </c>
      <c r="AF69" s="212">
        <v>12396</v>
      </c>
      <c r="AG69" s="212">
        <v>12396</v>
      </c>
    </row>
    <row r="70" spans="1:33" ht="12" customHeight="1">
      <c r="A70" s="6"/>
      <c r="B70" s="123" t="s">
        <v>888</v>
      </c>
      <c r="C70" s="6"/>
      <c r="D70" s="6"/>
      <c r="E70" s="123" t="s">
        <v>757</v>
      </c>
      <c r="F70" s="6"/>
      <c r="G70" s="6"/>
      <c r="H70" s="6"/>
      <c r="I70" s="6"/>
      <c r="J70" s="129">
        <v>0</v>
      </c>
      <c r="K70" s="260">
        <v>0</v>
      </c>
      <c r="L70" s="260"/>
      <c r="M70" s="260"/>
      <c r="N70" s="129">
        <v>0</v>
      </c>
      <c r="O70" s="129">
        <v>0</v>
      </c>
      <c r="P70" s="145">
        <f>AG69</f>
        <v>12396</v>
      </c>
      <c r="R70" s="115"/>
      <c r="S70" s="142" t="s">
        <v>889</v>
      </c>
      <c r="T70" s="115"/>
      <c r="U70" s="115"/>
      <c r="V70" s="123" t="s">
        <v>664</v>
      </c>
      <c r="W70" s="115"/>
      <c r="X70" s="115"/>
      <c r="Y70" s="115"/>
      <c r="Z70" s="115"/>
      <c r="AA70" s="212">
        <v>174.17</v>
      </c>
      <c r="AB70" s="260">
        <v>0</v>
      </c>
      <c r="AC70" s="260"/>
      <c r="AD70" s="260"/>
      <c r="AE70" s="212">
        <v>0</v>
      </c>
      <c r="AF70" s="212">
        <v>0</v>
      </c>
      <c r="AG70" s="212">
        <v>174.17</v>
      </c>
    </row>
    <row r="71" spans="1:33" ht="12" customHeight="1">
      <c r="A71" s="6"/>
      <c r="B71" s="123" t="s">
        <v>889</v>
      </c>
      <c r="C71" s="6"/>
      <c r="D71" s="6"/>
      <c r="E71" s="123" t="s">
        <v>664</v>
      </c>
      <c r="F71" s="6"/>
      <c r="G71" s="6"/>
      <c r="H71" s="6"/>
      <c r="I71" s="6"/>
      <c r="J71" s="129">
        <v>13644</v>
      </c>
      <c r="K71" s="260">
        <v>4258.47</v>
      </c>
      <c r="L71" s="260"/>
      <c r="M71" s="260"/>
      <c r="N71" s="129">
        <v>0</v>
      </c>
      <c r="O71" s="129">
        <v>4258.47</v>
      </c>
      <c r="P71" s="145">
        <f>AG70</f>
        <v>174.17</v>
      </c>
      <c r="R71" s="115"/>
      <c r="S71" s="142" t="s">
        <v>890</v>
      </c>
      <c r="T71" s="115"/>
      <c r="U71" s="115"/>
      <c r="V71" s="123" t="s">
        <v>850</v>
      </c>
      <c r="W71" s="115"/>
      <c r="X71" s="115"/>
      <c r="Y71" s="115"/>
      <c r="Z71" s="115"/>
      <c r="AA71" s="212">
        <v>73076.96</v>
      </c>
      <c r="AB71" s="260">
        <v>0</v>
      </c>
      <c r="AC71" s="260"/>
      <c r="AD71" s="260"/>
      <c r="AE71" s="212">
        <v>0</v>
      </c>
      <c r="AF71" s="212">
        <v>0</v>
      </c>
      <c r="AG71" s="212">
        <v>73076.96</v>
      </c>
    </row>
    <row r="72" spans="1:33" ht="12" customHeight="1">
      <c r="A72" s="6"/>
      <c r="B72" s="123" t="s">
        <v>890</v>
      </c>
      <c r="C72" s="6"/>
      <c r="D72" s="6"/>
      <c r="E72" s="123" t="s">
        <v>850</v>
      </c>
      <c r="F72" s="6"/>
      <c r="G72" s="6"/>
      <c r="H72" s="6"/>
      <c r="I72" s="6"/>
      <c r="J72" s="129">
        <v>3290.6</v>
      </c>
      <c r="K72" s="260">
        <v>2190.82</v>
      </c>
      <c r="L72" s="260"/>
      <c r="M72" s="260"/>
      <c r="N72" s="129">
        <v>0</v>
      </c>
      <c r="O72" s="129">
        <v>2190.82</v>
      </c>
      <c r="P72" s="145">
        <f>AG71</f>
        <v>73076.96</v>
      </c>
      <c r="R72" s="115"/>
      <c r="S72" s="142" t="s">
        <v>891</v>
      </c>
      <c r="T72" s="115"/>
      <c r="U72" s="115"/>
      <c r="V72" s="123" t="s">
        <v>665</v>
      </c>
      <c r="W72" s="115"/>
      <c r="X72" s="115"/>
      <c r="Y72" s="115"/>
      <c r="Z72" s="115"/>
      <c r="AA72" s="212">
        <v>3699.24</v>
      </c>
      <c r="AB72" s="260">
        <v>0</v>
      </c>
      <c r="AC72" s="260"/>
      <c r="AD72" s="260"/>
      <c r="AE72" s="212">
        <v>0</v>
      </c>
      <c r="AF72" s="212">
        <v>0</v>
      </c>
      <c r="AG72" s="212">
        <v>3699.24</v>
      </c>
    </row>
    <row r="73" spans="1:33" ht="12" customHeight="1">
      <c r="A73" s="6"/>
      <c r="B73" s="123" t="s">
        <v>891</v>
      </c>
      <c r="C73" s="6"/>
      <c r="D73" s="6"/>
      <c r="E73" s="123" t="s">
        <v>665</v>
      </c>
      <c r="F73" s="6"/>
      <c r="G73" s="6"/>
      <c r="H73" s="6"/>
      <c r="I73" s="6"/>
      <c r="J73" s="129">
        <v>0</v>
      </c>
      <c r="K73" s="260">
        <v>23946.91</v>
      </c>
      <c r="L73" s="260"/>
      <c r="M73" s="260"/>
      <c r="N73" s="129">
        <v>0</v>
      </c>
      <c r="O73" s="129">
        <v>23946.91</v>
      </c>
      <c r="P73" s="145">
        <f>AG72</f>
        <v>3699.24</v>
      </c>
      <c r="R73" s="115"/>
      <c r="S73" s="142" t="s">
        <v>892</v>
      </c>
      <c r="T73" s="115"/>
      <c r="U73" s="115"/>
      <c r="V73" s="123" t="s">
        <v>666</v>
      </c>
      <c r="W73" s="115"/>
      <c r="X73" s="115"/>
      <c r="Y73" s="115"/>
      <c r="Z73" s="115"/>
      <c r="AA73" s="212">
        <v>34159.25</v>
      </c>
      <c r="AB73" s="260">
        <v>21400</v>
      </c>
      <c r="AC73" s="260"/>
      <c r="AD73" s="260"/>
      <c r="AE73" s="212">
        <v>0</v>
      </c>
      <c r="AF73" s="212">
        <v>21400</v>
      </c>
      <c r="AG73" s="212">
        <v>55559.25</v>
      </c>
    </row>
    <row r="74" spans="1:33" ht="19.5" customHeight="1">
      <c r="A74" s="6"/>
      <c r="B74" s="123" t="s">
        <v>892</v>
      </c>
      <c r="C74" s="6"/>
      <c r="D74" s="6"/>
      <c r="E74" s="123" t="s">
        <v>666</v>
      </c>
      <c r="F74" s="6"/>
      <c r="G74" s="6"/>
      <c r="H74" s="6"/>
      <c r="I74" s="6"/>
      <c r="J74" s="129">
        <v>0</v>
      </c>
      <c r="K74" s="260">
        <v>1145.83</v>
      </c>
      <c r="L74" s="260"/>
      <c r="M74" s="260"/>
      <c r="N74" s="129">
        <v>0</v>
      </c>
      <c r="O74" s="129">
        <v>1145.83</v>
      </c>
      <c r="P74" s="145">
        <f>AG73</f>
        <v>55559.25</v>
      </c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</row>
    <row r="75" spans="1:33" ht="18.75" customHeight="1">
      <c r="A75" s="6"/>
      <c r="B75" s="122"/>
      <c r="C75" s="6"/>
      <c r="D75" s="6"/>
      <c r="E75" s="16"/>
      <c r="F75" s="6"/>
      <c r="G75" s="6"/>
      <c r="H75" s="6"/>
      <c r="I75" s="6"/>
      <c r="J75" s="129"/>
      <c r="K75" s="260"/>
      <c r="L75" s="260"/>
      <c r="M75" s="260"/>
      <c r="N75" s="129"/>
      <c r="O75" s="129"/>
      <c r="P75" s="129"/>
      <c r="R75" s="115"/>
      <c r="S75" s="7" t="s">
        <v>269</v>
      </c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264" t="s">
        <v>844</v>
      </c>
      <c r="AG75" s="264"/>
    </row>
    <row r="76" spans="1:33" ht="12.75" customHeight="1" thickBo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R76" s="115"/>
      <c r="S76" s="8" t="s">
        <v>271</v>
      </c>
      <c r="T76" s="9"/>
      <c r="U76" s="9"/>
      <c r="V76" s="9"/>
      <c r="W76" s="9"/>
      <c r="X76" s="9"/>
      <c r="Y76" s="133" t="s">
        <v>272</v>
      </c>
      <c r="Z76" s="9"/>
      <c r="AA76" s="9"/>
      <c r="AB76" s="9"/>
      <c r="AC76" s="133" t="s">
        <v>1109</v>
      </c>
      <c r="AD76" s="133" t="s">
        <v>1124</v>
      </c>
      <c r="AE76" s="9"/>
      <c r="AF76" s="265" t="s">
        <v>273</v>
      </c>
      <c r="AG76" s="265"/>
    </row>
    <row r="77" spans="1:33" ht="18.75" customHeight="1" thickTop="1">
      <c r="A77" s="6"/>
      <c r="B77" s="7" t="s">
        <v>269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64" t="s">
        <v>844</v>
      </c>
      <c r="P77" s="264"/>
      <c r="R77" s="115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2" customHeight="1" thickBot="1">
      <c r="A78" s="6"/>
      <c r="B78" s="8" t="s">
        <v>271</v>
      </c>
      <c r="C78" s="9"/>
      <c r="D78" s="9"/>
      <c r="E78" s="9"/>
      <c r="F78" s="9"/>
      <c r="G78" s="9"/>
      <c r="H78" s="10" t="s">
        <v>272</v>
      </c>
      <c r="I78" s="9"/>
      <c r="J78" s="9"/>
      <c r="K78" s="9"/>
      <c r="L78" s="10" t="s">
        <v>637</v>
      </c>
      <c r="M78" s="10" t="s">
        <v>849</v>
      </c>
      <c r="N78" s="9"/>
      <c r="O78" s="265" t="s">
        <v>273</v>
      </c>
      <c r="P78" s="265"/>
      <c r="R78" s="115"/>
      <c r="S78" s="12" t="s">
        <v>274</v>
      </c>
      <c r="T78" s="115"/>
      <c r="U78" s="115"/>
      <c r="V78" s="115"/>
      <c r="W78" s="115"/>
      <c r="X78" s="115"/>
      <c r="Y78" s="115"/>
      <c r="Z78" s="115"/>
      <c r="AA78" s="216" t="s">
        <v>1084</v>
      </c>
      <c r="AB78" s="261" t="s">
        <v>1085</v>
      </c>
      <c r="AC78" s="261"/>
      <c r="AD78" s="261"/>
      <c r="AE78" s="216" t="s">
        <v>1086</v>
      </c>
      <c r="AF78" s="216" t="s">
        <v>1087</v>
      </c>
      <c r="AG78" s="216" t="s">
        <v>1088</v>
      </c>
    </row>
    <row r="79" spans="1:33" ht="12" customHeight="1" thickTop="1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R79" s="115"/>
      <c r="S79" s="115"/>
      <c r="T79" s="115"/>
      <c r="U79" s="12" t="s">
        <v>279</v>
      </c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</row>
    <row r="80" spans="1:33" ht="14.25" customHeight="1" thickBot="1">
      <c r="A80" s="6"/>
      <c r="B80" s="12" t="s">
        <v>274</v>
      </c>
      <c r="C80" s="6"/>
      <c r="D80" s="6"/>
      <c r="E80" s="6"/>
      <c r="F80" s="6"/>
      <c r="G80" s="6"/>
      <c r="H80" s="6"/>
      <c r="I80" s="6"/>
      <c r="J80" s="128" t="s">
        <v>275</v>
      </c>
      <c r="K80" s="261" t="s">
        <v>276</v>
      </c>
      <c r="L80" s="261"/>
      <c r="M80" s="261"/>
      <c r="N80" s="128" t="s">
        <v>276</v>
      </c>
      <c r="O80" s="128" t="s">
        <v>277</v>
      </c>
      <c r="P80" s="128" t="s">
        <v>278</v>
      </c>
      <c r="R80" s="115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2" customHeight="1">
      <c r="A81" s="6"/>
      <c r="B81" s="6"/>
      <c r="C81" s="6"/>
      <c r="D81" s="12" t="s">
        <v>279</v>
      </c>
      <c r="E81" s="6"/>
      <c r="F81" s="6"/>
      <c r="G81" s="6"/>
      <c r="H81" s="6"/>
      <c r="I81" s="6"/>
      <c r="J81" s="128" t="s">
        <v>280</v>
      </c>
      <c r="K81" s="261" t="s">
        <v>281</v>
      </c>
      <c r="L81" s="261"/>
      <c r="M81" s="261"/>
      <c r="N81" s="128" t="s">
        <v>282</v>
      </c>
      <c r="O81" s="128" t="s">
        <v>283</v>
      </c>
      <c r="P81" s="128" t="s">
        <v>280</v>
      </c>
      <c r="R81" s="115"/>
      <c r="S81" s="141" t="s">
        <v>1029</v>
      </c>
      <c r="T81" s="14"/>
      <c r="U81" s="14"/>
      <c r="V81" s="124" t="s">
        <v>667</v>
      </c>
      <c r="W81" s="14"/>
      <c r="X81" s="14"/>
      <c r="Y81" s="14"/>
      <c r="Z81" s="14"/>
      <c r="AA81" s="214">
        <v>0</v>
      </c>
      <c r="AB81" s="267">
        <v>0</v>
      </c>
      <c r="AC81" s="267"/>
      <c r="AD81" s="267"/>
      <c r="AE81" s="214">
        <v>0</v>
      </c>
      <c r="AF81" s="214">
        <v>0</v>
      </c>
      <c r="AG81" s="214">
        <v>0</v>
      </c>
    </row>
    <row r="82" spans="1:33" ht="12" customHeight="1" thickBot="1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R82" s="115"/>
      <c r="S82" s="12" t="s">
        <v>668</v>
      </c>
      <c r="T82" s="115"/>
      <c r="U82" s="12" t="s">
        <v>669</v>
      </c>
      <c r="V82" s="115"/>
      <c r="W82" s="115"/>
      <c r="X82" s="115"/>
      <c r="Y82" s="115"/>
      <c r="Z82" s="115"/>
      <c r="AA82" s="213">
        <v>111109.62</v>
      </c>
      <c r="AB82" s="266">
        <v>33796</v>
      </c>
      <c r="AC82" s="266"/>
      <c r="AD82" s="266"/>
      <c r="AE82" s="213">
        <v>0</v>
      </c>
      <c r="AF82" s="213">
        <v>33796</v>
      </c>
      <c r="AG82" s="213">
        <v>144905.62</v>
      </c>
    </row>
    <row r="83" spans="1:33" ht="12" customHeight="1">
      <c r="A83" s="6"/>
      <c r="B83" s="124">
        <v>352200</v>
      </c>
      <c r="C83" s="14"/>
      <c r="D83" s="14"/>
      <c r="E83" s="18" t="s">
        <v>667</v>
      </c>
      <c r="F83" s="14"/>
      <c r="G83" s="14"/>
      <c r="H83" s="14"/>
      <c r="I83" s="14"/>
      <c r="J83" s="131">
        <v>0</v>
      </c>
      <c r="K83" s="267">
        <v>169610.07</v>
      </c>
      <c r="L83" s="267"/>
      <c r="M83" s="267"/>
      <c r="N83" s="131">
        <v>0</v>
      </c>
      <c r="O83" s="131">
        <v>169610.07</v>
      </c>
      <c r="P83" s="131">
        <f>AG85</f>
        <v>0</v>
      </c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</row>
    <row r="84" spans="1:34" ht="12" customHeight="1">
      <c r="A84" s="6"/>
      <c r="B84" s="12" t="s">
        <v>668</v>
      </c>
      <c r="C84" s="6"/>
      <c r="D84" s="12" t="s">
        <v>669</v>
      </c>
      <c r="E84" s="6"/>
      <c r="F84" s="6"/>
      <c r="G84" s="6"/>
      <c r="H84" s="6"/>
      <c r="I84" s="6"/>
      <c r="J84" s="130">
        <v>65290.43</v>
      </c>
      <c r="K84" s="266">
        <v>273916.77</v>
      </c>
      <c r="L84" s="266"/>
      <c r="M84" s="266"/>
      <c r="N84" s="130">
        <v>0</v>
      </c>
      <c r="O84" s="130">
        <v>273916.77</v>
      </c>
      <c r="P84" s="130">
        <f>SUM(P83,P69:P74)</f>
        <v>144905.62</v>
      </c>
      <c r="R84" s="115"/>
      <c r="S84" s="142" t="s">
        <v>1030</v>
      </c>
      <c r="T84" s="115"/>
      <c r="U84" s="115"/>
      <c r="V84" s="123" t="s">
        <v>311</v>
      </c>
      <c r="W84" s="115"/>
      <c r="X84" s="115"/>
      <c r="Y84" s="115"/>
      <c r="Z84" s="115"/>
      <c r="AA84" s="212">
        <v>0</v>
      </c>
      <c r="AB84" s="259">
        <v>0</v>
      </c>
      <c r="AC84" s="259"/>
      <c r="AD84" s="259"/>
      <c r="AE84" s="212">
        <v>0</v>
      </c>
      <c r="AF84" s="212">
        <v>0</v>
      </c>
      <c r="AG84" s="212">
        <v>0</v>
      </c>
      <c r="AH84" s="177"/>
    </row>
    <row r="85" spans="1:33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115"/>
      <c r="S85" s="12" t="s">
        <v>312</v>
      </c>
      <c r="T85" s="115"/>
      <c r="U85" s="12" t="s">
        <v>313</v>
      </c>
      <c r="V85" s="115"/>
      <c r="W85" s="115"/>
      <c r="X85" s="115"/>
      <c r="Y85" s="115"/>
      <c r="Z85" s="115"/>
      <c r="AA85" s="213">
        <v>0</v>
      </c>
      <c r="AB85" s="266">
        <v>0</v>
      </c>
      <c r="AC85" s="266"/>
      <c r="AD85" s="266"/>
      <c r="AE85" s="213">
        <v>0</v>
      </c>
      <c r="AF85" s="213">
        <v>0</v>
      </c>
      <c r="AG85" s="213">
        <v>0</v>
      </c>
    </row>
    <row r="86" spans="1:33" ht="12" customHeight="1">
      <c r="A86" s="6"/>
      <c r="B86" s="122">
        <v>378005</v>
      </c>
      <c r="C86" s="6"/>
      <c r="D86" s="6"/>
      <c r="E86" s="16" t="s">
        <v>311</v>
      </c>
      <c r="F86" s="6"/>
      <c r="G86" s="6"/>
      <c r="H86" s="6"/>
      <c r="I86" s="6"/>
      <c r="J86" s="129">
        <v>0</v>
      </c>
      <c r="K86" s="259">
        <v>0</v>
      </c>
      <c r="L86" s="259"/>
      <c r="M86" s="259"/>
      <c r="N86" s="129">
        <v>0</v>
      </c>
      <c r="O86" s="129">
        <v>0</v>
      </c>
      <c r="P86" s="129">
        <f>AG88</f>
        <v>0</v>
      </c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</row>
    <row r="87" spans="1:33" ht="12" customHeight="1">
      <c r="A87" s="6"/>
      <c r="B87" s="12" t="s">
        <v>312</v>
      </c>
      <c r="C87" s="6"/>
      <c r="D87" s="12" t="s">
        <v>313</v>
      </c>
      <c r="E87" s="6"/>
      <c r="F87" s="6"/>
      <c r="G87" s="6"/>
      <c r="H87" s="6"/>
      <c r="I87" s="6"/>
      <c r="J87" s="130">
        <v>0</v>
      </c>
      <c r="K87" s="266">
        <v>0</v>
      </c>
      <c r="L87" s="266"/>
      <c r="M87" s="266"/>
      <c r="N87" s="130">
        <v>0</v>
      </c>
      <c r="O87" s="130">
        <v>0</v>
      </c>
      <c r="P87" s="130">
        <f>SUM(P86)</f>
        <v>0</v>
      </c>
      <c r="R87" s="115"/>
      <c r="S87" s="142" t="s">
        <v>1031</v>
      </c>
      <c r="T87" s="115"/>
      <c r="U87" s="115"/>
      <c r="V87" s="123" t="s">
        <v>314</v>
      </c>
      <c r="W87" s="115"/>
      <c r="X87" s="115"/>
      <c r="Y87" s="115"/>
      <c r="Z87" s="115"/>
      <c r="AA87" s="212">
        <v>0</v>
      </c>
      <c r="AB87" s="260">
        <v>0</v>
      </c>
      <c r="AC87" s="260"/>
      <c r="AD87" s="260"/>
      <c r="AE87" s="212">
        <v>0</v>
      </c>
      <c r="AF87" s="212">
        <v>0</v>
      </c>
      <c r="AG87" s="212">
        <v>0</v>
      </c>
    </row>
    <row r="88" spans="1:33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15"/>
      <c r="S88" s="142" t="s">
        <v>1032</v>
      </c>
      <c r="T88" s="115"/>
      <c r="U88" s="115"/>
      <c r="V88" s="123" t="s">
        <v>315</v>
      </c>
      <c r="W88" s="115"/>
      <c r="X88" s="115"/>
      <c r="Y88" s="115"/>
      <c r="Z88" s="115"/>
      <c r="AA88" s="212">
        <v>0</v>
      </c>
      <c r="AB88" s="260">
        <v>0</v>
      </c>
      <c r="AC88" s="260"/>
      <c r="AD88" s="260"/>
      <c r="AE88" s="212">
        <v>0</v>
      </c>
      <c r="AF88" s="212">
        <v>0</v>
      </c>
      <c r="AG88" s="212">
        <v>0</v>
      </c>
    </row>
    <row r="89" spans="1:33" ht="12" customHeight="1">
      <c r="A89" s="6"/>
      <c r="B89" s="123">
        <v>381000</v>
      </c>
      <c r="C89" s="115"/>
      <c r="D89" s="115"/>
      <c r="E89" s="115" t="s">
        <v>315</v>
      </c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59">
        <v>0</v>
      </c>
      <c r="R89" s="115"/>
      <c r="S89" s="142" t="s">
        <v>1033</v>
      </c>
      <c r="T89" s="115"/>
      <c r="U89" s="115"/>
      <c r="V89" s="123" t="s">
        <v>316</v>
      </c>
      <c r="W89" s="115"/>
      <c r="X89" s="115"/>
      <c r="Y89" s="115"/>
      <c r="Z89" s="115"/>
      <c r="AA89" s="212">
        <v>0</v>
      </c>
      <c r="AB89" s="260">
        <v>0</v>
      </c>
      <c r="AC89" s="260"/>
      <c r="AD89" s="260"/>
      <c r="AE89" s="212">
        <v>0</v>
      </c>
      <c r="AF89" s="212">
        <v>0</v>
      </c>
      <c r="AG89" s="212">
        <v>0</v>
      </c>
    </row>
    <row r="90" spans="1:33" ht="12" customHeight="1">
      <c r="A90" s="6"/>
      <c r="B90" s="122">
        <v>381004</v>
      </c>
      <c r="C90" s="6"/>
      <c r="D90" s="6"/>
      <c r="E90" s="16" t="s">
        <v>314</v>
      </c>
      <c r="F90" s="6"/>
      <c r="G90" s="6"/>
      <c r="H90" s="6"/>
      <c r="I90" s="6"/>
      <c r="J90" s="129">
        <v>0</v>
      </c>
      <c r="K90" s="260">
        <v>0</v>
      </c>
      <c r="L90" s="260"/>
      <c r="M90" s="260"/>
      <c r="N90" s="129">
        <v>0</v>
      </c>
      <c r="O90" s="129">
        <v>0</v>
      </c>
      <c r="P90" s="129">
        <v>0</v>
      </c>
      <c r="R90" s="115"/>
      <c r="S90" s="142" t="s">
        <v>1034</v>
      </c>
      <c r="T90" s="115"/>
      <c r="U90" s="115"/>
      <c r="V90" s="123" t="s">
        <v>317</v>
      </c>
      <c r="W90" s="115"/>
      <c r="X90" s="115"/>
      <c r="Y90" s="115"/>
      <c r="Z90" s="115"/>
      <c r="AA90" s="212">
        <v>0</v>
      </c>
      <c r="AB90" s="260">
        <v>0</v>
      </c>
      <c r="AC90" s="260"/>
      <c r="AD90" s="260"/>
      <c r="AE90" s="212">
        <v>0</v>
      </c>
      <c r="AF90" s="212">
        <v>0</v>
      </c>
      <c r="AG90" s="212">
        <v>0</v>
      </c>
    </row>
    <row r="91" spans="1:33" ht="12" customHeight="1">
      <c r="A91" s="6"/>
      <c r="B91" s="122">
        <v>381100</v>
      </c>
      <c r="C91" s="6"/>
      <c r="D91" s="6"/>
      <c r="E91" s="16" t="s">
        <v>315</v>
      </c>
      <c r="F91" s="6"/>
      <c r="G91" s="6"/>
      <c r="H91" s="6"/>
      <c r="I91" s="6"/>
      <c r="J91" s="129">
        <v>0</v>
      </c>
      <c r="K91" s="260">
        <v>0</v>
      </c>
      <c r="L91" s="260"/>
      <c r="M91" s="260"/>
      <c r="N91" s="129">
        <v>0</v>
      </c>
      <c r="O91" s="129">
        <v>0</v>
      </c>
      <c r="P91" s="129">
        <v>0</v>
      </c>
      <c r="R91" s="115"/>
      <c r="S91" s="142" t="s">
        <v>1035</v>
      </c>
      <c r="T91" s="115"/>
      <c r="U91" s="115"/>
      <c r="V91" s="123" t="s">
        <v>318</v>
      </c>
      <c r="W91" s="115"/>
      <c r="X91" s="115"/>
      <c r="Y91" s="115"/>
      <c r="Z91" s="115"/>
      <c r="AA91" s="212">
        <v>0</v>
      </c>
      <c r="AB91" s="260">
        <v>0</v>
      </c>
      <c r="AC91" s="260"/>
      <c r="AD91" s="260"/>
      <c r="AE91" s="212">
        <v>0</v>
      </c>
      <c r="AF91" s="212">
        <v>0</v>
      </c>
      <c r="AG91" s="212">
        <v>0</v>
      </c>
    </row>
    <row r="92" spans="1:33" ht="12" customHeight="1">
      <c r="A92" s="6"/>
      <c r="B92" s="122">
        <v>385100</v>
      </c>
      <c r="C92" s="6"/>
      <c r="D92" s="6"/>
      <c r="E92" s="16" t="s">
        <v>316</v>
      </c>
      <c r="F92" s="6"/>
      <c r="G92" s="6"/>
      <c r="H92" s="6"/>
      <c r="I92" s="6"/>
      <c r="J92" s="129">
        <v>0</v>
      </c>
      <c r="K92" s="260">
        <v>0</v>
      </c>
      <c r="L92" s="260"/>
      <c r="M92" s="260"/>
      <c r="N92" s="129">
        <v>0</v>
      </c>
      <c r="O92" s="129">
        <v>0</v>
      </c>
      <c r="P92" s="129">
        <v>0</v>
      </c>
      <c r="R92" s="115"/>
      <c r="S92" s="142" t="s">
        <v>1036</v>
      </c>
      <c r="T92" s="115"/>
      <c r="U92" s="115"/>
      <c r="V92" s="123" t="s">
        <v>319</v>
      </c>
      <c r="W92" s="115"/>
      <c r="X92" s="115"/>
      <c r="Y92" s="115"/>
      <c r="Z92" s="115"/>
      <c r="AA92" s="212">
        <v>0</v>
      </c>
      <c r="AB92" s="259">
        <v>0</v>
      </c>
      <c r="AC92" s="259"/>
      <c r="AD92" s="259"/>
      <c r="AE92" s="212">
        <v>0</v>
      </c>
      <c r="AF92" s="212">
        <v>0</v>
      </c>
      <c r="AG92" s="212">
        <v>0</v>
      </c>
    </row>
    <row r="93" spans="1:33" ht="12" customHeight="1">
      <c r="A93" s="6"/>
      <c r="B93" s="122">
        <v>385200</v>
      </c>
      <c r="C93" s="6"/>
      <c r="D93" s="6"/>
      <c r="E93" s="16" t="s">
        <v>317</v>
      </c>
      <c r="F93" s="6"/>
      <c r="G93" s="6"/>
      <c r="H93" s="6"/>
      <c r="I93" s="6"/>
      <c r="J93" s="129">
        <v>0</v>
      </c>
      <c r="K93" s="260">
        <v>0</v>
      </c>
      <c r="L93" s="260"/>
      <c r="M93" s="260"/>
      <c r="N93" s="129">
        <v>0</v>
      </c>
      <c r="O93" s="129">
        <v>0</v>
      </c>
      <c r="P93" s="129">
        <v>0</v>
      </c>
      <c r="R93" s="115"/>
      <c r="S93" s="12" t="s">
        <v>320</v>
      </c>
      <c r="T93" s="115"/>
      <c r="U93" s="12" t="s">
        <v>321</v>
      </c>
      <c r="V93" s="115"/>
      <c r="W93" s="115"/>
      <c r="X93" s="115"/>
      <c r="Y93" s="115"/>
      <c r="Z93" s="115"/>
      <c r="AA93" s="213">
        <v>0</v>
      </c>
      <c r="AB93" s="266">
        <v>0</v>
      </c>
      <c r="AC93" s="266"/>
      <c r="AD93" s="266"/>
      <c r="AE93" s="213">
        <v>0</v>
      </c>
      <c r="AF93" s="213">
        <v>0</v>
      </c>
      <c r="AG93" s="213">
        <v>0</v>
      </c>
    </row>
    <row r="94" spans="1:33" ht="12" customHeight="1">
      <c r="A94" s="6"/>
      <c r="B94" s="122">
        <v>388200</v>
      </c>
      <c r="C94" s="6"/>
      <c r="D94" s="6"/>
      <c r="E94" s="16" t="s">
        <v>318</v>
      </c>
      <c r="F94" s="6"/>
      <c r="G94" s="6"/>
      <c r="H94" s="6"/>
      <c r="I94" s="6"/>
      <c r="J94" s="129">
        <v>0</v>
      </c>
      <c r="K94" s="260">
        <v>0</v>
      </c>
      <c r="L94" s="260"/>
      <c r="M94" s="260"/>
      <c r="N94" s="129">
        <v>0</v>
      </c>
      <c r="O94" s="129">
        <v>0</v>
      </c>
      <c r="P94" s="129">
        <v>0</v>
      </c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</row>
    <row r="95" spans="1:33" ht="12" customHeight="1">
      <c r="A95" s="6"/>
      <c r="B95" s="122">
        <v>388400</v>
      </c>
      <c r="C95" s="6"/>
      <c r="D95" s="6"/>
      <c r="E95" s="16" t="s">
        <v>319</v>
      </c>
      <c r="F95" s="6"/>
      <c r="G95" s="6"/>
      <c r="H95" s="6"/>
      <c r="I95" s="6"/>
      <c r="J95" s="129">
        <v>0</v>
      </c>
      <c r="K95" s="259">
        <v>0</v>
      </c>
      <c r="L95" s="259"/>
      <c r="M95" s="259"/>
      <c r="N95" s="129">
        <v>0</v>
      </c>
      <c r="O95" s="129">
        <v>0</v>
      </c>
      <c r="P95" s="129">
        <v>0</v>
      </c>
      <c r="R95" s="115"/>
      <c r="S95" s="12" t="s">
        <v>322</v>
      </c>
      <c r="T95" s="115"/>
      <c r="U95" s="115"/>
      <c r="V95" s="115"/>
      <c r="W95" s="115"/>
      <c r="X95" s="115"/>
      <c r="Y95" s="115"/>
      <c r="Z95" s="17"/>
      <c r="AA95" s="213">
        <v>4956606.66</v>
      </c>
      <c r="AB95" s="266">
        <v>4743493.37</v>
      </c>
      <c r="AC95" s="266"/>
      <c r="AD95" s="266"/>
      <c r="AE95" s="213">
        <v>4774657.84</v>
      </c>
      <c r="AF95" s="213">
        <v>-31164.47</v>
      </c>
      <c r="AG95" s="213">
        <v>4925442.19</v>
      </c>
    </row>
    <row r="96" spans="1:33" ht="12" customHeight="1">
      <c r="A96" s="6"/>
      <c r="B96" s="12" t="s">
        <v>320</v>
      </c>
      <c r="C96" s="6"/>
      <c r="D96" s="12" t="s">
        <v>321</v>
      </c>
      <c r="E96" s="6"/>
      <c r="F96" s="6"/>
      <c r="G96" s="6"/>
      <c r="H96" s="6"/>
      <c r="I96" s="6"/>
      <c r="J96" s="130">
        <v>0</v>
      </c>
      <c r="K96" s="266">
        <v>0</v>
      </c>
      <c r="L96" s="266"/>
      <c r="M96" s="266"/>
      <c r="N96" s="130">
        <v>0</v>
      </c>
      <c r="O96" s="130">
        <v>0</v>
      </c>
      <c r="P96" s="130">
        <v>0</v>
      </c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</row>
    <row r="97" spans="1:33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23"/>
      <c r="R97" s="115"/>
      <c r="S97" s="142" t="s">
        <v>1037</v>
      </c>
      <c r="T97" s="115"/>
      <c r="U97" s="115"/>
      <c r="V97" s="123" t="s">
        <v>670</v>
      </c>
      <c r="W97" s="115"/>
      <c r="X97" s="115"/>
      <c r="Y97" s="115"/>
      <c r="Z97" s="115"/>
      <c r="AA97" s="212">
        <v>706281.56</v>
      </c>
      <c r="AB97" s="260">
        <v>0</v>
      </c>
      <c r="AC97" s="260"/>
      <c r="AD97" s="260"/>
      <c r="AE97" s="212">
        <v>0</v>
      </c>
      <c r="AF97" s="212">
        <v>0</v>
      </c>
      <c r="AG97" s="212">
        <v>706281.56</v>
      </c>
    </row>
    <row r="98" spans="1:33" ht="12" customHeight="1">
      <c r="A98" s="6"/>
      <c r="B98" s="12" t="s">
        <v>322</v>
      </c>
      <c r="C98" s="6"/>
      <c r="D98" s="6"/>
      <c r="E98" s="6"/>
      <c r="F98" s="6"/>
      <c r="G98" s="6"/>
      <c r="H98" s="6"/>
      <c r="I98" s="17"/>
      <c r="J98" s="130">
        <v>3561278.43</v>
      </c>
      <c r="K98" s="266">
        <v>4314579.48</v>
      </c>
      <c r="L98" s="266"/>
      <c r="M98" s="266"/>
      <c r="N98" s="130">
        <v>3484567.31</v>
      </c>
      <c r="O98" s="130">
        <v>830012.17</v>
      </c>
      <c r="P98" s="146">
        <f>P84+P67+P87+P96</f>
        <v>4925442.19</v>
      </c>
      <c r="Q98" s="23"/>
      <c r="R98" s="115"/>
      <c r="S98" s="142" t="s">
        <v>1038</v>
      </c>
      <c r="T98" s="115"/>
      <c r="U98" s="115"/>
      <c r="V98" s="123" t="s">
        <v>671</v>
      </c>
      <c r="W98" s="115"/>
      <c r="X98" s="115"/>
      <c r="Y98" s="115"/>
      <c r="Z98" s="115"/>
      <c r="AA98" s="212">
        <v>7639570.87</v>
      </c>
      <c r="AB98" s="260">
        <v>0</v>
      </c>
      <c r="AC98" s="260"/>
      <c r="AD98" s="260"/>
      <c r="AE98" s="212">
        <v>0</v>
      </c>
      <c r="AF98" s="212">
        <v>0</v>
      </c>
      <c r="AG98" s="212">
        <v>7639570.87</v>
      </c>
    </row>
    <row r="99" spans="1:33" ht="1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R99" s="115"/>
      <c r="S99" s="142" t="s">
        <v>1039</v>
      </c>
      <c r="T99" s="115"/>
      <c r="U99" s="115"/>
      <c r="V99" s="123" t="s">
        <v>672</v>
      </c>
      <c r="W99" s="115"/>
      <c r="X99" s="115"/>
      <c r="Y99" s="115"/>
      <c r="Z99" s="115"/>
      <c r="AA99" s="212">
        <v>59000</v>
      </c>
      <c r="AB99" s="260">
        <v>0</v>
      </c>
      <c r="AC99" s="260"/>
      <c r="AD99" s="260"/>
      <c r="AE99" s="212">
        <v>0</v>
      </c>
      <c r="AF99" s="212">
        <v>0</v>
      </c>
      <c r="AG99" s="212">
        <v>59000</v>
      </c>
    </row>
    <row r="100" spans="1:33" ht="12" customHeight="1">
      <c r="A100" s="6"/>
      <c r="B100" s="122">
        <v>431001</v>
      </c>
      <c r="C100" s="6"/>
      <c r="D100" s="6"/>
      <c r="E100" s="16" t="s">
        <v>670</v>
      </c>
      <c r="F100" s="6"/>
      <c r="G100" s="6"/>
      <c r="H100" s="6"/>
      <c r="I100" s="6"/>
      <c r="J100" s="129">
        <v>653524.18</v>
      </c>
      <c r="K100" s="260">
        <v>0</v>
      </c>
      <c r="L100" s="260"/>
      <c r="M100" s="260"/>
      <c r="N100" s="129">
        <v>0</v>
      </c>
      <c r="O100" s="129">
        <v>0</v>
      </c>
      <c r="P100" s="129">
        <f>AG97</f>
        <v>706281.56</v>
      </c>
      <c r="R100" s="115"/>
      <c r="S100" s="142" t="s">
        <v>1040</v>
      </c>
      <c r="T100" s="115"/>
      <c r="U100" s="115"/>
      <c r="V100" s="123" t="s">
        <v>673</v>
      </c>
      <c r="W100" s="115"/>
      <c r="X100" s="115"/>
      <c r="Y100" s="115"/>
      <c r="Z100" s="115"/>
      <c r="AA100" s="212">
        <v>-6281548.84</v>
      </c>
      <c r="AB100" s="260">
        <v>0</v>
      </c>
      <c r="AC100" s="260"/>
      <c r="AD100" s="260"/>
      <c r="AE100" s="212">
        <v>100146</v>
      </c>
      <c r="AF100" s="212">
        <v>-100146</v>
      </c>
      <c r="AG100" s="212">
        <v>-6381694.84</v>
      </c>
    </row>
    <row r="101" spans="1:33" ht="12" customHeight="1">
      <c r="A101" s="6"/>
      <c r="B101" s="122">
        <v>431100</v>
      </c>
      <c r="C101" s="6"/>
      <c r="D101" s="6"/>
      <c r="E101" s="16" t="s">
        <v>671</v>
      </c>
      <c r="F101" s="6"/>
      <c r="G101" s="6"/>
      <c r="H101" s="6"/>
      <c r="I101" s="6"/>
      <c r="J101" s="129">
        <v>6409288.87</v>
      </c>
      <c r="K101" s="260">
        <v>0</v>
      </c>
      <c r="L101" s="260"/>
      <c r="M101" s="260"/>
      <c r="N101" s="129">
        <v>0</v>
      </c>
      <c r="O101" s="129">
        <v>0</v>
      </c>
      <c r="P101" s="129">
        <f>AG98</f>
        <v>7639570.87</v>
      </c>
      <c r="R101" s="115"/>
      <c r="S101" s="142" t="s">
        <v>1041</v>
      </c>
      <c r="T101" s="115"/>
      <c r="U101" s="115"/>
      <c r="V101" s="123" t="s">
        <v>673</v>
      </c>
      <c r="W101" s="115"/>
      <c r="X101" s="115"/>
      <c r="Y101" s="115"/>
      <c r="Z101" s="115"/>
      <c r="AA101" s="212">
        <v>-618774.78</v>
      </c>
      <c r="AB101" s="259">
        <v>0</v>
      </c>
      <c r="AC101" s="259"/>
      <c r="AD101" s="259"/>
      <c r="AE101" s="212">
        <v>14871</v>
      </c>
      <c r="AF101" s="212">
        <v>-14871</v>
      </c>
      <c r="AG101" s="212">
        <v>-633645.78</v>
      </c>
    </row>
    <row r="102" spans="1:33" ht="12" customHeight="1">
      <c r="A102" s="6"/>
      <c r="B102" s="122">
        <v>432000</v>
      </c>
      <c r="C102" s="6"/>
      <c r="D102" s="6"/>
      <c r="E102" s="16" t="s">
        <v>672</v>
      </c>
      <c r="F102" s="6"/>
      <c r="G102" s="6"/>
      <c r="H102" s="6"/>
      <c r="I102" s="6"/>
      <c r="J102" s="129">
        <v>59000</v>
      </c>
      <c r="K102" s="260">
        <v>0</v>
      </c>
      <c r="L102" s="260"/>
      <c r="M102" s="260"/>
      <c r="N102" s="129">
        <v>0</v>
      </c>
      <c r="O102" s="129">
        <v>0</v>
      </c>
      <c r="P102" s="129">
        <f>AG99</f>
        <v>59000</v>
      </c>
      <c r="R102" s="115"/>
      <c r="S102" s="12" t="s">
        <v>353</v>
      </c>
      <c r="T102" s="115"/>
      <c r="U102" s="12" t="s">
        <v>354</v>
      </c>
      <c r="V102" s="115"/>
      <c r="W102" s="115"/>
      <c r="X102" s="115"/>
      <c r="Y102" s="115"/>
      <c r="Z102" s="115"/>
      <c r="AA102" s="213">
        <v>1504528.81</v>
      </c>
      <c r="AB102" s="266">
        <v>0</v>
      </c>
      <c r="AC102" s="266"/>
      <c r="AD102" s="266"/>
      <c r="AE102" s="213">
        <v>115017</v>
      </c>
      <c r="AF102" s="213">
        <v>-115017</v>
      </c>
      <c r="AG102" s="213">
        <v>1389511.81</v>
      </c>
    </row>
    <row r="103" spans="1:33" ht="12" customHeight="1">
      <c r="A103" s="6"/>
      <c r="B103" s="122">
        <v>438100</v>
      </c>
      <c r="C103" s="6"/>
      <c r="D103" s="6"/>
      <c r="E103" s="16" t="s">
        <v>673</v>
      </c>
      <c r="F103" s="6"/>
      <c r="G103" s="6"/>
      <c r="H103" s="6"/>
      <c r="I103" s="6"/>
      <c r="J103" s="129">
        <v>-4219327</v>
      </c>
      <c r="K103" s="260">
        <v>0</v>
      </c>
      <c r="L103" s="260"/>
      <c r="M103" s="260"/>
      <c r="N103" s="129">
        <v>305325</v>
      </c>
      <c r="O103" s="129">
        <v>-305325</v>
      </c>
      <c r="P103" s="129">
        <f>AG100</f>
        <v>-6381694.84</v>
      </c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</row>
    <row r="104" spans="1:33" ht="12" customHeight="1">
      <c r="A104" s="6"/>
      <c r="B104" s="122">
        <v>438200</v>
      </c>
      <c r="C104" s="6"/>
      <c r="D104" s="6"/>
      <c r="E104" s="16" t="s">
        <v>673</v>
      </c>
      <c r="F104" s="6"/>
      <c r="G104" s="6"/>
      <c r="H104" s="6"/>
      <c r="I104" s="6"/>
      <c r="J104" s="129">
        <v>-396991.33</v>
      </c>
      <c r="K104" s="259">
        <v>0</v>
      </c>
      <c r="L104" s="259"/>
      <c r="M104" s="259"/>
      <c r="N104" s="129">
        <v>27021</v>
      </c>
      <c r="O104" s="129">
        <v>-27021</v>
      </c>
      <c r="P104" s="129">
        <f>AG101</f>
        <v>-633645.78</v>
      </c>
      <c r="Q104" s="23"/>
      <c r="R104" s="115"/>
      <c r="S104" s="142" t="s">
        <v>1042</v>
      </c>
      <c r="T104" s="115"/>
      <c r="U104" s="115"/>
      <c r="V104" s="123" t="s">
        <v>963</v>
      </c>
      <c r="W104" s="115"/>
      <c r="X104" s="115"/>
      <c r="Y104" s="115"/>
      <c r="Z104" s="115"/>
      <c r="AA104" s="212">
        <v>43500</v>
      </c>
      <c r="AB104" s="259">
        <v>3000</v>
      </c>
      <c r="AC104" s="259"/>
      <c r="AD104" s="259"/>
      <c r="AE104" s="212">
        <v>0</v>
      </c>
      <c r="AF104" s="212">
        <v>3000</v>
      </c>
      <c r="AG104" s="212">
        <v>46500</v>
      </c>
    </row>
    <row r="105" spans="1:34" ht="12" customHeight="1">
      <c r="A105" s="6"/>
      <c r="B105" s="12" t="s">
        <v>353</v>
      </c>
      <c r="C105" s="6"/>
      <c r="D105" s="12" t="s">
        <v>354</v>
      </c>
      <c r="E105" s="6"/>
      <c r="F105" s="6"/>
      <c r="G105" s="6"/>
      <c r="H105" s="6"/>
      <c r="I105" s="6"/>
      <c r="J105" s="130">
        <v>2505494.72</v>
      </c>
      <c r="K105" s="266">
        <v>0</v>
      </c>
      <c r="L105" s="266"/>
      <c r="M105" s="266"/>
      <c r="N105" s="130">
        <v>332346</v>
      </c>
      <c r="O105" s="130">
        <v>-332346</v>
      </c>
      <c r="P105" s="130">
        <f>SUM(P100:P104)</f>
        <v>1389511.8099999998</v>
      </c>
      <c r="R105" s="115"/>
      <c r="S105" s="12" t="s">
        <v>675</v>
      </c>
      <c r="T105" s="115"/>
      <c r="U105" s="115"/>
      <c r="V105" s="115"/>
      <c r="W105" s="115"/>
      <c r="X105" s="115"/>
      <c r="Y105" s="115"/>
      <c r="Z105" s="115"/>
      <c r="AA105" s="213">
        <v>43500</v>
      </c>
      <c r="AB105" s="266">
        <v>3000</v>
      </c>
      <c r="AC105" s="266"/>
      <c r="AD105" s="266"/>
      <c r="AE105" s="213">
        <v>0</v>
      </c>
      <c r="AF105" s="213">
        <v>3000</v>
      </c>
      <c r="AG105" s="213">
        <v>46500</v>
      </c>
      <c r="AH105" s="177"/>
    </row>
    <row r="106" spans="1:33" ht="1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</row>
    <row r="107" spans="1:33" ht="12" customHeight="1">
      <c r="A107" s="6"/>
      <c r="B107" s="122">
        <v>441000</v>
      </c>
      <c r="C107" s="6"/>
      <c r="D107" s="6"/>
      <c r="E107" s="16" t="s">
        <v>674</v>
      </c>
      <c r="F107" s="6"/>
      <c r="G107" s="6"/>
      <c r="H107" s="6"/>
      <c r="I107" s="6"/>
      <c r="J107" s="129">
        <v>0</v>
      </c>
      <c r="K107" s="260">
        <v>0</v>
      </c>
      <c r="L107" s="260"/>
      <c r="M107" s="260"/>
      <c r="N107" s="129">
        <v>0</v>
      </c>
      <c r="O107" s="129">
        <v>0</v>
      </c>
      <c r="P107" s="129">
        <v>0</v>
      </c>
      <c r="R107" s="115"/>
      <c r="S107" s="142" t="s">
        <v>1043</v>
      </c>
      <c r="T107" s="115"/>
      <c r="U107" s="115"/>
      <c r="V107" s="123" t="s">
        <v>676</v>
      </c>
      <c r="W107" s="115"/>
      <c r="X107" s="115"/>
      <c r="Y107" s="115"/>
      <c r="Z107" s="115"/>
      <c r="AA107" s="212">
        <v>3392788</v>
      </c>
      <c r="AB107" s="260">
        <v>0</v>
      </c>
      <c r="AC107" s="260"/>
      <c r="AD107" s="260"/>
      <c r="AE107" s="212">
        <v>0</v>
      </c>
      <c r="AF107" s="212">
        <v>0</v>
      </c>
      <c r="AG107" s="212">
        <v>3392788</v>
      </c>
    </row>
    <row r="108" spans="1:33" ht="12" customHeight="1">
      <c r="A108" s="6"/>
      <c r="B108" s="123">
        <v>445000</v>
      </c>
      <c r="C108" s="115"/>
      <c r="D108" s="115"/>
      <c r="E108" s="123" t="s">
        <v>963</v>
      </c>
      <c r="F108" s="115"/>
      <c r="G108" s="115"/>
      <c r="H108" s="115"/>
      <c r="I108" s="115"/>
      <c r="J108" s="159"/>
      <c r="K108" s="159"/>
      <c r="L108" s="159"/>
      <c r="M108" s="159"/>
      <c r="N108" s="159"/>
      <c r="O108" s="159"/>
      <c r="P108" s="159">
        <f>AG104</f>
        <v>46500</v>
      </c>
      <c r="R108" s="115"/>
      <c r="S108" s="142" t="s">
        <v>1044</v>
      </c>
      <c r="T108" s="115"/>
      <c r="U108" s="115"/>
      <c r="V108" s="123" t="s">
        <v>677</v>
      </c>
      <c r="W108" s="115"/>
      <c r="X108" s="115"/>
      <c r="Y108" s="115"/>
      <c r="Z108" s="115"/>
      <c r="AA108" s="212">
        <v>-1626543</v>
      </c>
      <c r="AB108" s="259">
        <v>0</v>
      </c>
      <c r="AC108" s="259"/>
      <c r="AD108" s="259"/>
      <c r="AE108" s="212">
        <v>101901</v>
      </c>
      <c r="AF108" s="212">
        <v>-101901</v>
      </c>
      <c r="AG108" s="212">
        <v>-1728444</v>
      </c>
    </row>
    <row r="109" spans="1:33" ht="12" customHeight="1">
      <c r="A109" s="6"/>
      <c r="B109" s="12" t="s">
        <v>675</v>
      </c>
      <c r="C109" s="6"/>
      <c r="D109" s="6"/>
      <c r="E109" s="6"/>
      <c r="F109" s="6"/>
      <c r="G109" s="6"/>
      <c r="H109" s="6"/>
      <c r="I109" s="6"/>
      <c r="J109" s="130">
        <v>189000</v>
      </c>
      <c r="K109" s="266">
        <v>118500</v>
      </c>
      <c r="L109" s="266"/>
      <c r="M109" s="266"/>
      <c r="N109" s="130">
        <v>307500</v>
      </c>
      <c r="O109" s="130">
        <v>-189000</v>
      </c>
      <c r="P109" s="130">
        <f>SUM(P107:P108)</f>
        <v>46500</v>
      </c>
      <c r="R109" s="115"/>
      <c r="S109" s="12" t="s">
        <v>678</v>
      </c>
      <c r="T109" s="115"/>
      <c r="U109" s="12" t="s">
        <v>679</v>
      </c>
      <c r="V109" s="115"/>
      <c r="W109" s="115"/>
      <c r="X109" s="115"/>
      <c r="Y109" s="115"/>
      <c r="Z109" s="115"/>
      <c r="AA109" s="213">
        <v>1766245</v>
      </c>
      <c r="AB109" s="266">
        <v>0</v>
      </c>
      <c r="AC109" s="266"/>
      <c r="AD109" s="266"/>
      <c r="AE109" s="213">
        <v>101901</v>
      </c>
      <c r="AF109" s="213">
        <v>-101901</v>
      </c>
      <c r="AG109" s="213">
        <v>1664344</v>
      </c>
    </row>
    <row r="110" spans="1:33" ht="1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</row>
    <row r="111" spans="1:33" ht="12" customHeight="1">
      <c r="A111" s="6"/>
      <c r="B111" s="122">
        <v>474200</v>
      </c>
      <c r="C111" s="6"/>
      <c r="D111" s="6"/>
      <c r="E111" s="16" t="s">
        <v>676</v>
      </c>
      <c r="F111" s="6"/>
      <c r="G111" s="6"/>
      <c r="H111" s="6"/>
      <c r="I111" s="6"/>
      <c r="J111" s="129">
        <v>2345788</v>
      </c>
      <c r="K111" s="260">
        <v>307500</v>
      </c>
      <c r="L111" s="260"/>
      <c r="M111" s="260"/>
      <c r="N111" s="129">
        <v>0</v>
      </c>
      <c r="O111" s="129">
        <v>307500</v>
      </c>
      <c r="P111" s="129">
        <f>AG107</f>
        <v>3392788</v>
      </c>
      <c r="R111" s="115"/>
      <c r="S111" s="12" t="s">
        <v>355</v>
      </c>
      <c r="T111" s="115"/>
      <c r="U111" s="115"/>
      <c r="V111" s="115"/>
      <c r="W111" s="115"/>
      <c r="X111" s="115"/>
      <c r="Y111" s="115"/>
      <c r="Z111" s="17"/>
      <c r="AA111" s="213">
        <v>3314273.81</v>
      </c>
      <c r="AB111" s="266">
        <v>3000</v>
      </c>
      <c r="AC111" s="266"/>
      <c r="AD111" s="266"/>
      <c r="AE111" s="213">
        <v>216918</v>
      </c>
      <c r="AF111" s="213">
        <v>-213918</v>
      </c>
      <c r="AG111" s="213">
        <v>3100355.81</v>
      </c>
    </row>
    <row r="112" spans="1:33" ht="12" customHeight="1">
      <c r="A112" s="6"/>
      <c r="B112" s="122">
        <v>478100</v>
      </c>
      <c r="C112" s="6"/>
      <c r="D112" s="6"/>
      <c r="E112" s="16" t="s">
        <v>677</v>
      </c>
      <c r="F112" s="6"/>
      <c r="G112" s="6"/>
      <c r="H112" s="6"/>
      <c r="I112" s="6"/>
      <c r="J112" s="129">
        <v>-776397</v>
      </c>
      <c r="K112" s="259">
        <v>0</v>
      </c>
      <c r="L112" s="259"/>
      <c r="M112" s="259"/>
      <c r="N112" s="129">
        <v>62714</v>
      </c>
      <c r="O112" s="129">
        <v>-62714</v>
      </c>
      <c r="P112" s="129">
        <f>AG108</f>
        <v>-1728444</v>
      </c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</row>
    <row r="113" spans="1:34" ht="12" customHeight="1" thickBot="1">
      <c r="A113" s="6"/>
      <c r="B113" s="12" t="s">
        <v>678</v>
      </c>
      <c r="C113" s="6"/>
      <c r="D113" s="12" t="s">
        <v>679</v>
      </c>
      <c r="E113" s="6"/>
      <c r="F113" s="6"/>
      <c r="G113" s="6"/>
      <c r="H113" s="6"/>
      <c r="I113" s="6"/>
      <c r="J113" s="130">
        <v>1569391</v>
      </c>
      <c r="K113" s="266">
        <v>307500</v>
      </c>
      <c r="L113" s="266"/>
      <c r="M113" s="266"/>
      <c r="N113" s="130">
        <v>62714</v>
      </c>
      <c r="O113" s="130">
        <v>244786</v>
      </c>
      <c r="P113" s="130">
        <f>SUM(P111:P112)</f>
        <v>1664344</v>
      </c>
      <c r="R113" s="115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77"/>
    </row>
    <row r="114" spans="1:33" ht="12" customHeight="1" thickBo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23"/>
      <c r="R114" s="115"/>
      <c r="S114" s="19"/>
      <c r="T114" s="19"/>
      <c r="U114" s="20" t="s">
        <v>323</v>
      </c>
      <c r="V114" s="19"/>
      <c r="W114" s="19"/>
      <c r="X114" s="19"/>
      <c r="Y114" s="19"/>
      <c r="Z114" s="19"/>
      <c r="AA114" s="215">
        <v>13680926.04</v>
      </c>
      <c r="AB114" s="262">
        <v>18258877.99</v>
      </c>
      <c r="AC114" s="262"/>
      <c r="AD114" s="262"/>
      <c r="AE114" s="215">
        <v>17454637.65</v>
      </c>
      <c r="AF114" s="215">
        <v>804240.34</v>
      </c>
      <c r="AG114" s="215">
        <v>14485166.38</v>
      </c>
    </row>
    <row r="115" spans="1:33" ht="12" customHeight="1">
      <c r="A115" s="6"/>
      <c r="B115" s="12" t="s">
        <v>355</v>
      </c>
      <c r="C115" s="6"/>
      <c r="D115" s="6"/>
      <c r="E115" s="6"/>
      <c r="F115" s="6"/>
      <c r="G115" s="6"/>
      <c r="H115" s="6"/>
      <c r="I115" s="17"/>
      <c r="J115" s="130">
        <v>4263885.72</v>
      </c>
      <c r="K115" s="266">
        <v>426000</v>
      </c>
      <c r="L115" s="266"/>
      <c r="M115" s="266"/>
      <c r="N115" s="130">
        <v>702560</v>
      </c>
      <c r="O115" s="130">
        <v>-276560</v>
      </c>
      <c r="P115" s="130">
        <f>P113+P109+P105</f>
        <v>3100355.8099999996</v>
      </c>
      <c r="Q115" s="23"/>
      <c r="R115" s="11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6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</row>
    <row r="117" spans="1:33" ht="12" customHeight="1" thickBot="1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23"/>
      <c r="R117" s="115"/>
      <c r="S117" s="15" t="s">
        <v>324</v>
      </c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</row>
    <row r="118" spans="1:33" ht="12" customHeight="1" thickBot="1">
      <c r="A118" s="6"/>
      <c r="B118" s="19"/>
      <c r="C118" s="19"/>
      <c r="D118" s="20" t="s">
        <v>323</v>
      </c>
      <c r="E118" s="19"/>
      <c r="F118" s="19"/>
      <c r="G118" s="19"/>
      <c r="H118" s="19"/>
      <c r="I118" s="19"/>
      <c r="J118" s="132">
        <v>9718572.3</v>
      </c>
      <c r="K118" s="262">
        <v>16233455.92</v>
      </c>
      <c r="L118" s="262"/>
      <c r="M118" s="262"/>
      <c r="N118" s="132">
        <v>16554340.15</v>
      </c>
      <c r="O118" s="132">
        <v>-320884.23</v>
      </c>
      <c r="P118" s="132">
        <f>P115+P98+P52+P32</f>
        <v>14485166.38</v>
      </c>
      <c r="Q118" s="23">
        <f>P118-AG114</f>
        <v>0</v>
      </c>
      <c r="R118" s="115"/>
      <c r="S118" s="142" t="s">
        <v>1092</v>
      </c>
      <c r="T118" s="115"/>
      <c r="U118" s="115"/>
      <c r="V118" s="123" t="s">
        <v>680</v>
      </c>
      <c r="W118" s="115"/>
      <c r="X118" s="115"/>
      <c r="Y118" s="115"/>
      <c r="Z118" s="115"/>
      <c r="AA118" s="212">
        <v>923768.76</v>
      </c>
      <c r="AB118" s="259">
        <v>88929.62</v>
      </c>
      <c r="AC118" s="259"/>
      <c r="AD118" s="259"/>
      <c r="AE118" s="212">
        <v>0</v>
      </c>
      <c r="AF118" s="212">
        <v>-88929.62</v>
      </c>
      <c r="AG118" s="212">
        <v>834839.14</v>
      </c>
    </row>
    <row r="119" spans="1:33" ht="21.75" customHeight="1">
      <c r="A119" s="6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R119" s="115"/>
      <c r="S119" s="12" t="s">
        <v>653</v>
      </c>
      <c r="T119" s="115"/>
      <c r="U119" s="12" t="s">
        <v>654</v>
      </c>
      <c r="V119" s="115"/>
      <c r="W119" s="115"/>
      <c r="X119" s="115"/>
      <c r="Y119" s="115"/>
      <c r="Z119" s="115"/>
      <c r="AA119" s="213">
        <v>923768.76</v>
      </c>
      <c r="AB119" s="266">
        <v>88929.62</v>
      </c>
      <c r="AC119" s="266"/>
      <c r="AD119" s="266"/>
      <c r="AE119" s="213">
        <v>0</v>
      </c>
      <c r="AF119" s="213">
        <v>-88929.62</v>
      </c>
      <c r="AG119" s="213">
        <v>834839.14</v>
      </c>
    </row>
    <row r="120" spans="1:33" ht="12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</row>
    <row r="121" spans="1:33" ht="12" customHeight="1">
      <c r="A121" s="6"/>
      <c r="B121" s="15" t="s">
        <v>324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115"/>
      <c r="S121" s="12" t="s">
        <v>658</v>
      </c>
      <c r="T121" s="115"/>
      <c r="U121" s="115"/>
      <c r="V121" s="115"/>
      <c r="W121" s="115"/>
      <c r="X121" s="115"/>
      <c r="Y121" s="115"/>
      <c r="Z121" s="17"/>
      <c r="AA121" s="213">
        <v>923768.76</v>
      </c>
      <c r="AB121" s="266">
        <v>88929.62</v>
      </c>
      <c r="AC121" s="266"/>
      <c r="AD121" s="266"/>
      <c r="AE121" s="213">
        <v>0</v>
      </c>
      <c r="AF121" s="213">
        <v>-88929.62</v>
      </c>
      <c r="AG121" s="213">
        <v>834839.14</v>
      </c>
    </row>
    <row r="122" spans="1:33" ht="12" customHeight="1">
      <c r="A122" s="6"/>
      <c r="B122" s="122">
        <v>137000</v>
      </c>
      <c r="C122" s="6"/>
      <c r="D122" s="6"/>
      <c r="E122" s="16" t="s">
        <v>680</v>
      </c>
      <c r="F122" s="6"/>
      <c r="G122" s="6"/>
      <c r="H122" s="6"/>
      <c r="I122" s="6"/>
      <c r="J122" s="129">
        <v>122769.98</v>
      </c>
      <c r="K122" s="259">
        <v>109960.36</v>
      </c>
      <c r="L122" s="259"/>
      <c r="M122" s="259"/>
      <c r="N122" s="129">
        <v>13626.62</v>
      </c>
      <c r="O122" s="129">
        <v>-96333.74</v>
      </c>
      <c r="P122" s="129">
        <f>AG118</f>
        <v>834839.14</v>
      </c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</row>
    <row r="123" spans="1:33" ht="12" customHeight="1">
      <c r="A123" s="6"/>
      <c r="B123" s="12" t="s">
        <v>653</v>
      </c>
      <c r="C123" s="6"/>
      <c r="D123" s="12" t="s">
        <v>654</v>
      </c>
      <c r="E123" s="6"/>
      <c r="F123" s="6"/>
      <c r="G123" s="6"/>
      <c r="H123" s="6"/>
      <c r="I123" s="6"/>
      <c r="J123" s="130">
        <v>122769.98</v>
      </c>
      <c r="K123" s="266">
        <v>109960.36</v>
      </c>
      <c r="L123" s="266"/>
      <c r="M123" s="266"/>
      <c r="N123" s="130">
        <v>13626.62</v>
      </c>
      <c r="O123" s="130">
        <v>-96333.74</v>
      </c>
      <c r="P123" s="130">
        <f>P122</f>
        <v>834839.14</v>
      </c>
      <c r="R123" s="115"/>
      <c r="S123" s="142" t="s">
        <v>1045</v>
      </c>
      <c r="T123" s="115"/>
      <c r="U123" s="115"/>
      <c r="V123" s="123" t="s">
        <v>325</v>
      </c>
      <c r="W123" s="115"/>
      <c r="X123" s="115"/>
      <c r="Y123" s="115"/>
      <c r="Z123" s="115"/>
      <c r="AA123" s="212">
        <v>0</v>
      </c>
      <c r="AB123" s="260">
        <v>0</v>
      </c>
      <c r="AC123" s="260"/>
      <c r="AD123" s="260"/>
      <c r="AE123" s="212">
        <v>0</v>
      </c>
      <c r="AF123" s="212">
        <v>0</v>
      </c>
      <c r="AG123" s="212">
        <v>0</v>
      </c>
    </row>
    <row r="124" spans="1:33" ht="12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R124" s="115"/>
      <c r="S124" s="142" t="s">
        <v>1046</v>
      </c>
      <c r="T124" s="115"/>
      <c r="U124" s="115"/>
      <c r="V124" s="123" t="s">
        <v>326</v>
      </c>
      <c r="W124" s="115"/>
      <c r="X124" s="115"/>
      <c r="Y124" s="115"/>
      <c r="Z124" s="115"/>
      <c r="AA124" s="212">
        <v>0</v>
      </c>
      <c r="AB124" s="260">
        <v>0</v>
      </c>
      <c r="AC124" s="260"/>
      <c r="AD124" s="260"/>
      <c r="AE124" s="212">
        <v>0</v>
      </c>
      <c r="AF124" s="212">
        <v>0</v>
      </c>
      <c r="AG124" s="212">
        <v>0</v>
      </c>
    </row>
    <row r="125" spans="1:33" ht="12" customHeight="1">
      <c r="A125" s="6"/>
      <c r="B125" s="12" t="s">
        <v>658</v>
      </c>
      <c r="C125" s="6"/>
      <c r="D125" s="6"/>
      <c r="E125" s="6"/>
      <c r="F125" s="6"/>
      <c r="G125" s="6"/>
      <c r="H125" s="6"/>
      <c r="I125" s="17"/>
      <c r="J125" s="130">
        <v>122769.98</v>
      </c>
      <c r="K125" s="266">
        <v>109960.36</v>
      </c>
      <c r="L125" s="266"/>
      <c r="M125" s="266"/>
      <c r="N125" s="130">
        <v>13626.62</v>
      </c>
      <c r="O125" s="130">
        <v>-96333.74</v>
      </c>
      <c r="P125" s="150">
        <f>P123</f>
        <v>834839.14</v>
      </c>
      <c r="R125" s="115"/>
      <c r="S125" s="142" t="s">
        <v>1047</v>
      </c>
      <c r="T125" s="115"/>
      <c r="U125" s="115"/>
      <c r="V125" s="123" t="s">
        <v>327</v>
      </c>
      <c r="W125" s="115"/>
      <c r="X125" s="115"/>
      <c r="Y125" s="115"/>
      <c r="Z125" s="115"/>
      <c r="AA125" s="212">
        <v>0</v>
      </c>
      <c r="AB125" s="260">
        <v>0</v>
      </c>
      <c r="AC125" s="260"/>
      <c r="AD125" s="260"/>
      <c r="AE125" s="212">
        <v>0</v>
      </c>
      <c r="AF125" s="212">
        <v>0</v>
      </c>
      <c r="AG125" s="212">
        <v>0</v>
      </c>
    </row>
    <row r="126" spans="1:33" ht="12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115"/>
      <c r="S126" s="142" t="s">
        <v>1048</v>
      </c>
      <c r="T126" s="115"/>
      <c r="U126" s="115"/>
      <c r="V126" s="123" t="s">
        <v>328</v>
      </c>
      <c r="W126" s="115"/>
      <c r="X126" s="115"/>
      <c r="Y126" s="115"/>
      <c r="Z126" s="115"/>
      <c r="AA126" s="212">
        <v>0</v>
      </c>
      <c r="AB126" s="260">
        <v>0</v>
      </c>
      <c r="AC126" s="260"/>
      <c r="AD126" s="260"/>
      <c r="AE126" s="212">
        <v>0</v>
      </c>
      <c r="AF126" s="212">
        <v>0</v>
      </c>
      <c r="AG126" s="212">
        <v>0</v>
      </c>
    </row>
    <row r="127" spans="1:33" ht="12" customHeight="1">
      <c r="A127" s="6"/>
      <c r="B127" s="122">
        <v>321100</v>
      </c>
      <c r="C127" s="6"/>
      <c r="D127" s="6"/>
      <c r="E127" s="16" t="s">
        <v>325</v>
      </c>
      <c r="F127" s="6"/>
      <c r="G127" s="6"/>
      <c r="H127" s="6"/>
      <c r="I127" s="6"/>
      <c r="J127" s="129">
        <v>0</v>
      </c>
      <c r="K127" s="260">
        <v>0</v>
      </c>
      <c r="L127" s="260"/>
      <c r="M127" s="260"/>
      <c r="N127" s="129">
        <v>0</v>
      </c>
      <c r="O127" s="129">
        <v>0</v>
      </c>
      <c r="P127" s="129">
        <v>0</v>
      </c>
      <c r="R127" s="115"/>
      <c r="S127" s="142" t="s">
        <v>1049</v>
      </c>
      <c r="T127" s="115"/>
      <c r="U127" s="115"/>
      <c r="V127" s="123" t="s">
        <v>329</v>
      </c>
      <c r="W127" s="115"/>
      <c r="X127" s="115"/>
      <c r="Y127" s="115"/>
      <c r="Z127" s="115"/>
      <c r="AA127" s="212">
        <v>0</v>
      </c>
      <c r="AB127" s="260">
        <v>0</v>
      </c>
      <c r="AC127" s="260"/>
      <c r="AD127" s="260"/>
      <c r="AE127" s="212">
        <v>0</v>
      </c>
      <c r="AF127" s="212">
        <v>0</v>
      </c>
      <c r="AG127" s="212">
        <v>0</v>
      </c>
    </row>
    <row r="128" spans="1:33" ht="12" customHeight="1">
      <c r="A128" s="6"/>
      <c r="B128" s="122">
        <v>321200</v>
      </c>
      <c r="C128" s="6"/>
      <c r="D128" s="6"/>
      <c r="E128" s="16" t="s">
        <v>326</v>
      </c>
      <c r="F128" s="6"/>
      <c r="G128" s="6"/>
      <c r="H128" s="6"/>
      <c r="I128" s="6"/>
      <c r="J128" s="129">
        <v>0</v>
      </c>
      <c r="K128" s="260">
        <v>0</v>
      </c>
      <c r="L128" s="260"/>
      <c r="M128" s="260"/>
      <c r="N128" s="129">
        <v>0</v>
      </c>
      <c r="O128" s="129">
        <v>0</v>
      </c>
      <c r="P128" s="129">
        <v>0</v>
      </c>
      <c r="R128" s="115"/>
      <c r="S128" s="142" t="s">
        <v>1050</v>
      </c>
      <c r="T128" s="115"/>
      <c r="U128" s="115"/>
      <c r="V128" s="123" t="s">
        <v>330</v>
      </c>
      <c r="W128" s="115"/>
      <c r="X128" s="115"/>
      <c r="Y128" s="115"/>
      <c r="Z128" s="115"/>
      <c r="AA128" s="212">
        <v>0</v>
      </c>
      <c r="AB128" s="260">
        <v>0</v>
      </c>
      <c r="AC128" s="260"/>
      <c r="AD128" s="260"/>
      <c r="AE128" s="212">
        <v>0</v>
      </c>
      <c r="AF128" s="212">
        <v>0</v>
      </c>
      <c r="AG128" s="212">
        <v>0</v>
      </c>
    </row>
    <row r="129" spans="1:33" ht="12" customHeight="1">
      <c r="A129" s="6"/>
      <c r="B129" s="122">
        <v>321300</v>
      </c>
      <c r="C129" s="6"/>
      <c r="D129" s="6"/>
      <c r="E129" s="16" t="s">
        <v>327</v>
      </c>
      <c r="F129" s="6"/>
      <c r="G129" s="6"/>
      <c r="H129" s="6"/>
      <c r="I129" s="6"/>
      <c r="J129" s="129">
        <v>0</v>
      </c>
      <c r="K129" s="260">
        <v>0</v>
      </c>
      <c r="L129" s="260"/>
      <c r="M129" s="260"/>
      <c r="N129" s="129">
        <v>0</v>
      </c>
      <c r="O129" s="129">
        <v>0</v>
      </c>
      <c r="P129" s="129">
        <v>0</v>
      </c>
      <c r="R129" s="115"/>
      <c r="S129" s="142" t="s">
        <v>1051</v>
      </c>
      <c r="T129" s="115"/>
      <c r="U129" s="115"/>
      <c r="V129" s="123" t="s">
        <v>331</v>
      </c>
      <c r="W129" s="115"/>
      <c r="X129" s="115"/>
      <c r="Y129" s="115"/>
      <c r="Z129" s="115"/>
      <c r="AA129" s="212">
        <v>0</v>
      </c>
      <c r="AB129" s="259">
        <v>0</v>
      </c>
      <c r="AC129" s="259"/>
      <c r="AD129" s="259"/>
      <c r="AE129" s="212">
        <v>0</v>
      </c>
      <c r="AF129" s="212">
        <v>0</v>
      </c>
      <c r="AG129" s="212">
        <v>0</v>
      </c>
    </row>
    <row r="130" spans="1:33" ht="12" customHeight="1">
      <c r="A130" s="6"/>
      <c r="B130" s="122">
        <v>321400</v>
      </c>
      <c r="C130" s="6"/>
      <c r="D130" s="6"/>
      <c r="E130" s="16" t="s">
        <v>328</v>
      </c>
      <c r="F130" s="6"/>
      <c r="G130" s="6"/>
      <c r="H130" s="6"/>
      <c r="I130" s="6"/>
      <c r="J130" s="129">
        <v>0</v>
      </c>
      <c r="K130" s="260">
        <v>0</v>
      </c>
      <c r="L130" s="260"/>
      <c r="M130" s="260"/>
      <c r="N130" s="129">
        <v>0</v>
      </c>
      <c r="O130" s="129">
        <v>0</v>
      </c>
      <c r="P130" s="129">
        <v>0</v>
      </c>
      <c r="R130" s="115"/>
      <c r="S130" s="12" t="s">
        <v>332</v>
      </c>
      <c r="T130" s="115"/>
      <c r="U130" s="12" t="s">
        <v>333</v>
      </c>
      <c r="V130" s="115"/>
      <c r="W130" s="115"/>
      <c r="X130" s="115"/>
      <c r="Y130" s="115"/>
      <c r="Z130" s="115"/>
      <c r="AA130" s="213">
        <v>0</v>
      </c>
      <c r="AB130" s="266">
        <v>0</v>
      </c>
      <c r="AC130" s="266"/>
      <c r="AD130" s="266"/>
      <c r="AE130" s="213">
        <v>0</v>
      </c>
      <c r="AF130" s="213">
        <v>0</v>
      </c>
      <c r="AG130" s="213">
        <v>0</v>
      </c>
    </row>
    <row r="131" spans="1:33" ht="12" customHeight="1">
      <c r="A131" s="6"/>
      <c r="B131" s="122">
        <v>324200</v>
      </c>
      <c r="C131" s="6"/>
      <c r="D131" s="6"/>
      <c r="E131" s="16" t="s">
        <v>329</v>
      </c>
      <c r="F131" s="6"/>
      <c r="G131" s="6"/>
      <c r="H131" s="6"/>
      <c r="I131" s="6"/>
      <c r="J131" s="129">
        <v>0</v>
      </c>
      <c r="K131" s="260">
        <v>0</v>
      </c>
      <c r="L131" s="260"/>
      <c r="M131" s="260"/>
      <c r="N131" s="129">
        <v>0</v>
      </c>
      <c r="O131" s="129">
        <v>0</v>
      </c>
      <c r="P131" s="129">
        <v>0</v>
      </c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</row>
    <row r="132" spans="1:33" ht="12" customHeight="1">
      <c r="A132" s="6"/>
      <c r="B132" s="122">
        <v>324300</v>
      </c>
      <c r="C132" s="6"/>
      <c r="D132" s="6"/>
      <c r="E132" s="16" t="s">
        <v>330</v>
      </c>
      <c r="F132" s="6"/>
      <c r="G132" s="6"/>
      <c r="H132" s="6"/>
      <c r="I132" s="6"/>
      <c r="J132" s="129">
        <v>0</v>
      </c>
      <c r="K132" s="260">
        <v>0</v>
      </c>
      <c r="L132" s="260"/>
      <c r="M132" s="260"/>
      <c r="N132" s="129">
        <v>0</v>
      </c>
      <c r="O132" s="129">
        <v>0</v>
      </c>
      <c r="P132" s="129">
        <v>0</v>
      </c>
      <c r="R132" s="115"/>
      <c r="S132" s="142" t="s">
        <v>1052</v>
      </c>
      <c r="T132" s="115"/>
      <c r="U132" s="115"/>
      <c r="V132" s="123" t="s">
        <v>334</v>
      </c>
      <c r="W132" s="115"/>
      <c r="X132" s="115"/>
      <c r="Y132" s="115"/>
      <c r="Z132" s="115"/>
      <c r="AA132" s="212">
        <v>0</v>
      </c>
      <c r="AB132" s="260">
        <v>0</v>
      </c>
      <c r="AC132" s="260"/>
      <c r="AD132" s="260"/>
      <c r="AE132" s="212">
        <v>0</v>
      </c>
      <c r="AF132" s="212">
        <v>0</v>
      </c>
      <c r="AG132" s="212">
        <v>0</v>
      </c>
    </row>
    <row r="133" spans="1:33" ht="12" customHeight="1">
      <c r="A133" s="6"/>
      <c r="B133" s="122">
        <v>325000</v>
      </c>
      <c r="C133" s="6"/>
      <c r="D133" s="6"/>
      <c r="E133" s="16" t="s">
        <v>331</v>
      </c>
      <c r="F133" s="6"/>
      <c r="G133" s="6"/>
      <c r="H133" s="6"/>
      <c r="I133" s="6"/>
      <c r="J133" s="129">
        <v>0</v>
      </c>
      <c r="K133" s="259">
        <v>0</v>
      </c>
      <c r="L133" s="259"/>
      <c r="M133" s="259"/>
      <c r="N133" s="129">
        <v>0</v>
      </c>
      <c r="O133" s="129">
        <v>0</v>
      </c>
      <c r="P133" s="129">
        <v>0</v>
      </c>
      <c r="R133" s="115"/>
      <c r="S133" s="142" t="s">
        <v>1053</v>
      </c>
      <c r="T133" s="115"/>
      <c r="U133" s="115"/>
      <c r="V133" s="123" t="s">
        <v>335</v>
      </c>
      <c r="W133" s="115"/>
      <c r="X133" s="115"/>
      <c r="Y133" s="115"/>
      <c r="Z133" s="115"/>
      <c r="AA133" s="212">
        <v>0</v>
      </c>
      <c r="AB133" s="260">
        <v>0</v>
      </c>
      <c r="AC133" s="260"/>
      <c r="AD133" s="260"/>
      <c r="AE133" s="212">
        <v>0</v>
      </c>
      <c r="AF133" s="212">
        <v>0</v>
      </c>
      <c r="AG133" s="212">
        <v>0</v>
      </c>
    </row>
    <row r="134" spans="1:33" ht="12" customHeight="1">
      <c r="A134" s="6"/>
      <c r="B134" s="12" t="s">
        <v>332</v>
      </c>
      <c r="C134" s="6"/>
      <c r="D134" s="12" t="s">
        <v>333</v>
      </c>
      <c r="E134" s="6"/>
      <c r="F134" s="6"/>
      <c r="G134" s="6"/>
      <c r="H134" s="6"/>
      <c r="I134" s="6"/>
      <c r="J134" s="130">
        <v>0</v>
      </c>
      <c r="K134" s="266">
        <v>0</v>
      </c>
      <c r="L134" s="266"/>
      <c r="M134" s="266"/>
      <c r="N134" s="130">
        <v>0</v>
      </c>
      <c r="O134" s="130">
        <v>0</v>
      </c>
      <c r="P134" s="130">
        <v>0</v>
      </c>
      <c r="R134" s="115"/>
      <c r="S134" s="142" t="s">
        <v>1054</v>
      </c>
      <c r="T134" s="115"/>
      <c r="U134" s="115"/>
      <c r="V134" s="123" t="s">
        <v>336</v>
      </c>
      <c r="W134" s="115"/>
      <c r="X134" s="115"/>
      <c r="Y134" s="115"/>
      <c r="Z134" s="115"/>
      <c r="AA134" s="212">
        <v>0</v>
      </c>
      <c r="AB134" s="260">
        <v>0</v>
      </c>
      <c r="AC134" s="260"/>
      <c r="AD134" s="260"/>
      <c r="AE134" s="212">
        <v>0</v>
      </c>
      <c r="AF134" s="212">
        <v>0</v>
      </c>
      <c r="AG134" s="212">
        <v>0</v>
      </c>
    </row>
    <row r="135" spans="1:33" ht="12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R135" s="115"/>
      <c r="S135" s="142" t="s">
        <v>1055</v>
      </c>
      <c r="T135" s="115"/>
      <c r="U135" s="115"/>
      <c r="V135" s="123" t="s">
        <v>337</v>
      </c>
      <c r="W135" s="115"/>
      <c r="X135" s="115"/>
      <c r="Y135" s="115"/>
      <c r="Z135" s="115"/>
      <c r="AA135" s="212">
        <v>0</v>
      </c>
      <c r="AB135" s="260">
        <v>0</v>
      </c>
      <c r="AC135" s="260"/>
      <c r="AD135" s="260"/>
      <c r="AE135" s="212">
        <v>0</v>
      </c>
      <c r="AF135" s="212">
        <v>0</v>
      </c>
      <c r="AG135" s="212">
        <v>0</v>
      </c>
    </row>
    <row r="136" spans="1:33" ht="12" customHeight="1">
      <c r="A136" s="6"/>
      <c r="B136" s="122">
        <v>333001</v>
      </c>
      <c r="C136" s="6"/>
      <c r="D136" s="6"/>
      <c r="E136" s="16" t="s">
        <v>334</v>
      </c>
      <c r="F136" s="6"/>
      <c r="G136" s="6"/>
      <c r="H136" s="6"/>
      <c r="I136" s="6"/>
      <c r="J136" s="129">
        <v>0</v>
      </c>
      <c r="K136" s="260">
        <v>0</v>
      </c>
      <c r="L136" s="260"/>
      <c r="M136" s="260"/>
      <c r="N136" s="129">
        <v>0</v>
      </c>
      <c r="O136" s="129">
        <v>0</v>
      </c>
      <c r="P136" s="129">
        <v>0</v>
      </c>
      <c r="R136" s="115"/>
      <c r="S136" s="142" t="s">
        <v>1056</v>
      </c>
      <c r="T136" s="115"/>
      <c r="U136" s="115"/>
      <c r="V136" s="123" t="s">
        <v>338</v>
      </c>
      <c r="W136" s="115"/>
      <c r="X136" s="115"/>
      <c r="Y136" s="115"/>
      <c r="Z136" s="115"/>
      <c r="AA136" s="212">
        <v>0</v>
      </c>
      <c r="AB136" s="260">
        <v>0</v>
      </c>
      <c r="AC136" s="260"/>
      <c r="AD136" s="260"/>
      <c r="AE136" s="212">
        <v>0</v>
      </c>
      <c r="AF136" s="212">
        <v>0</v>
      </c>
      <c r="AG136" s="212">
        <v>0</v>
      </c>
    </row>
    <row r="137" spans="1:33" ht="12" customHeight="1">
      <c r="A137" s="6"/>
      <c r="B137" s="122">
        <v>333002</v>
      </c>
      <c r="C137" s="6"/>
      <c r="D137" s="6"/>
      <c r="E137" s="16" t="s">
        <v>335</v>
      </c>
      <c r="F137" s="6"/>
      <c r="G137" s="6"/>
      <c r="H137" s="6"/>
      <c r="I137" s="6"/>
      <c r="J137" s="129">
        <v>0</v>
      </c>
      <c r="K137" s="260">
        <v>0</v>
      </c>
      <c r="L137" s="260"/>
      <c r="M137" s="260"/>
      <c r="N137" s="129">
        <v>0</v>
      </c>
      <c r="O137" s="129">
        <v>0</v>
      </c>
      <c r="P137" s="129">
        <v>0</v>
      </c>
      <c r="R137" s="115"/>
      <c r="S137" s="142" t="s">
        <v>1057</v>
      </c>
      <c r="T137" s="115"/>
      <c r="U137" s="115"/>
      <c r="V137" s="123" t="s">
        <v>339</v>
      </c>
      <c r="W137" s="115"/>
      <c r="X137" s="115"/>
      <c r="Y137" s="115"/>
      <c r="Z137" s="115"/>
      <c r="AA137" s="212">
        <v>0</v>
      </c>
      <c r="AB137" s="259">
        <v>0</v>
      </c>
      <c r="AC137" s="259"/>
      <c r="AD137" s="259"/>
      <c r="AE137" s="212">
        <v>0</v>
      </c>
      <c r="AF137" s="212">
        <v>0</v>
      </c>
      <c r="AG137" s="212">
        <v>0</v>
      </c>
    </row>
    <row r="138" spans="1:33" ht="12" customHeight="1">
      <c r="A138" s="6"/>
      <c r="B138" s="122">
        <v>333003</v>
      </c>
      <c r="C138" s="6"/>
      <c r="D138" s="6"/>
      <c r="E138" s="16" t="s">
        <v>336</v>
      </c>
      <c r="F138" s="6"/>
      <c r="G138" s="6"/>
      <c r="H138" s="6"/>
      <c r="I138" s="6"/>
      <c r="J138" s="129">
        <v>0</v>
      </c>
      <c r="K138" s="260">
        <v>0</v>
      </c>
      <c r="L138" s="260"/>
      <c r="M138" s="260"/>
      <c r="N138" s="129">
        <v>0</v>
      </c>
      <c r="O138" s="129">
        <v>0</v>
      </c>
      <c r="P138" s="129">
        <v>0</v>
      </c>
      <c r="R138" s="115"/>
      <c r="S138" s="12" t="s">
        <v>340</v>
      </c>
      <c r="T138" s="115"/>
      <c r="U138" s="12" t="s">
        <v>341</v>
      </c>
      <c r="V138" s="115"/>
      <c r="W138" s="115"/>
      <c r="X138" s="115"/>
      <c r="Y138" s="115"/>
      <c r="Z138" s="115"/>
      <c r="AA138" s="213">
        <v>0</v>
      </c>
      <c r="AB138" s="266">
        <v>0</v>
      </c>
      <c r="AC138" s="266"/>
      <c r="AD138" s="266"/>
      <c r="AE138" s="213">
        <v>0</v>
      </c>
      <c r="AF138" s="213">
        <v>0</v>
      </c>
      <c r="AG138" s="213">
        <v>0</v>
      </c>
    </row>
    <row r="139" spans="1:33" ht="12" customHeight="1">
      <c r="A139" s="6"/>
      <c r="B139" s="122">
        <v>333004</v>
      </c>
      <c r="C139" s="6"/>
      <c r="D139" s="6"/>
      <c r="E139" s="16" t="s">
        <v>337</v>
      </c>
      <c r="F139" s="6"/>
      <c r="G139" s="6"/>
      <c r="H139" s="6"/>
      <c r="I139" s="6"/>
      <c r="J139" s="129">
        <v>0</v>
      </c>
      <c r="K139" s="260">
        <v>0</v>
      </c>
      <c r="L139" s="260"/>
      <c r="M139" s="260"/>
      <c r="N139" s="129">
        <v>0</v>
      </c>
      <c r="O139" s="129">
        <v>0</v>
      </c>
      <c r="P139" s="129">
        <v>0</v>
      </c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</row>
    <row r="140" spans="1:33" ht="12" customHeight="1">
      <c r="A140" s="6"/>
      <c r="B140" s="122">
        <v>333005</v>
      </c>
      <c r="C140" s="6"/>
      <c r="D140" s="6"/>
      <c r="E140" s="16" t="s">
        <v>338</v>
      </c>
      <c r="F140" s="6"/>
      <c r="G140" s="6"/>
      <c r="H140" s="6"/>
      <c r="I140" s="6"/>
      <c r="J140" s="129">
        <v>0</v>
      </c>
      <c r="K140" s="260">
        <v>0</v>
      </c>
      <c r="L140" s="260"/>
      <c r="M140" s="260"/>
      <c r="N140" s="129">
        <v>0</v>
      </c>
      <c r="O140" s="129">
        <v>0</v>
      </c>
      <c r="P140" s="129">
        <v>0</v>
      </c>
      <c r="R140" s="115"/>
      <c r="S140" s="142" t="s">
        <v>863</v>
      </c>
      <c r="T140" s="115"/>
      <c r="U140" s="115"/>
      <c r="V140" s="123" t="s">
        <v>681</v>
      </c>
      <c r="W140" s="115"/>
      <c r="X140" s="115"/>
      <c r="Y140" s="115"/>
      <c r="Z140" s="115"/>
      <c r="AA140" s="212">
        <v>705000</v>
      </c>
      <c r="AB140" s="260">
        <v>0</v>
      </c>
      <c r="AC140" s="260"/>
      <c r="AD140" s="260"/>
      <c r="AE140" s="212">
        <v>0</v>
      </c>
      <c r="AF140" s="212">
        <v>0</v>
      </c>
      <c r="AG140" s="212">
        <v>705000</v>
      </c>
    </row>
    <row r="141" spans="1:33" ht="12" customHeight="1">
      <c r="A141" s="6"/>
      <c r="B141" s="122">
        <v>333007</v>
      </c>
      <c r="C141" s="6"/>
      <c r="D141" s="6"/>
      <c r="E141" s="16" t="s">
        <v>339</v>
      </c>
      <c r="F141" s="6"/>
      <c r="G141" s="6"/>
      <c r="H141" s="6"/>
      <c r="I141" s="6"/>
      <c r="J141" s="129">
        <v>0</v>
      </c>
      <c r="K141" s="259">
        <v>0</v>
      </c>
      <c r="L141" s="259"/>
      <c r="M141" s="259"/>
      <c r="N141" s="129">
        <v>0</v>
      </c>
      <c r="O141" s="129">
        <v>0</v>
      </c>
      <c r="P141" s="129">
        <v>0</v>
      </c>
      <c r="R141" s="115"/>
      <c r="S141" s="142" t="s">
        <v>864</v>
      </c>
      <c r="T141" s="115"/>
      <c r="U141" s="115"/>
      <c r="V141" s="123" t="s">
        <v>682</v>
      </c>
      <c r="W141" s="115"/>
      <c r="X141" s="115"/>
      <c r="Y141" s="115"/>
      <c r="Z141" s="115"/>
      <c r="AA141" s="212">
        <v>62695</v>
      </c>
      <c r="AB141" s="260">
        <v>225987</v>
      </c>
      <c r="AC141" s="260"/>
      <c r="AD141" s="260"/>
      <c r="AE141" s="212">
        <v>225820</v>
      </c>
      <c r="AF141" s="212">
        <v>-167</v>
      </c>
      <c r="AG141" s="212">
        <v>62528</v>
      </c>
    </row>
    <row r="142" spans="1:33" ht="12" customHeight="1">
      <c r="A142" s="6"/>
      <c r="B142" s="12" t="s">
        <v>340</v>
      </c>
      <c r="C142" s="6"/>
      <c r="D142" s="12" t="s">
        <v>341</v>
      </c>
      <c r="E142" s="6"/>
      <c r="F142" s="6"/>
      <c r="G142" s="6"/>
      <c r="H142" s="6"/>
      <c r="I142" s="6"/>
      <c r="J142" s="130">
        <v>0</v>
      </c>
      <c r="K142" s="266">
        <v>0</v>
      </c>
      <c r="L142" s="266"/>
      <c r="M142" s="266"/>
      <c r="N142" s="130">
        <v>0</v>
      </c>
      <c r="O142" s="130">
        <v>0</v>
      </c>
      <c r="P142" s="130">
        <v>0</v>
      </c>
      <c r="R142" s="115"/>
      <c r="S142" s="142" t="s">
        <v>865</v>
      </c>
      <c r="T142" s="115"/>
      <c r="U142" s="115"/>
      <c r="V142" s="123" t="s">
        <v>683</v>
      </c>
      <c r="W142" s="115"/>
      <c r="X142" s="115"/>
      <c r="Y142" s="115"/>
      <c r="Z142" s="115"/>
      <c r="AA142" s="212">
        <v>807404.25</v>
      </c>
      <c r="AB142" s="260">
        <v>2076616.46</v>
      </c>
      <c r="AC142" s="260"/>
      <c r="AD142" s="260"/>
      <c r="AE142" s="212">
        <v>2101396.31</v>
      </c>
      <c r="AF142" s="212">
        <v>24779.85</v>
      </c>
      <c r="AG142" s="212">
        <v>832184.1</v>
      </c>
    </row>
    <row r="143" spans="1:33" ht="12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R143" s="115"/>
      <c r="S143" s="142" t="s">
        <v>866</v>
      </c>
      <c r="T143" s="115"/>
      <c r="U143" s="115"/>
      <c r="V143" s="123" t="s">
        <v>684</v>
      </c>
      <c r="W143" s="115"/>
      <c r="X143" s="115"/>
      <c r="Y143" s="115"/>
      <c r="Z143" s="115"/>
      <c r="AA143" s="212">
        <v>0</v>
      </c>
      <c r="AB143" s="260">
        <v>599097.43</v>
      </c>
      <c r="AC143" s="260"/>
      <c r="AD143" s="260"/>
      <c r="AE143" s="212">
        <v>599097.43</v>
      </c>
      <c r="AF143" s="212">
        <v>0</v>
      </c>
      <c r="AG143" s="212">
        <v>0</v>
      </c>
    </row>
    <row r="144" spans="1:33" ht="12" customHeight="1">
      <c r="A144" s="6"/>
      <c r="B144" s="142" t="s">
        <v>863</v>
      </c>
      <c r="C144" s="6"/>
      <c r="D144" s="6"/>
      <c r="E144" s="123" t="s">
        <v>681</v>
      </c>
      <c r="F144" s="6"/>
      <c r="G144" s="6"/>
      <c r="H144" s="6"/>
      <c r="I144" s="6"/>
      <c r="J144" s="129">
        <v>705000</v>
      </c>
      <c r="K144" s="260">
        <v>0</v>
      </c>
      <c r="L144" s="260"/>
      <c r="M144" s="260"/>
      <c r="N144" s="129">
        <v>0</v>
      </c>
      <c r="O144" s="129">
        <v>0</v>
      </c>
      <c r="P144" s="149">
        <f>AG140</f>
        <v>705000</v>
      </c>
      <c r="R144" s="115"/>
      <c r="S144" s="142" t="s">
        <v>867</v>
      </c>
      <c r="T144" s="115"/>
      <c r="U144" s="115"/>
      <c r="V144" s="123" t="s">
        <v>685</v>
      </c>
      <c r="W144" s="115"/>
      <c r="X144" s="115"/>
      <c r="Y144" s="115"/>
      <c r="Z144" s="115"/>
      <c r="AA144" s="212">
        <v>0</v>
      </c>
      <c r="AB144" s="260">
        <v>177716.63</v>
      </c>
      <c r="AC144" s="260"/>
      <c r="AD144" s="260"/>
      <c r="AE144" s="212">
        <v>177716.63</v>
      </c>
      <c r="AF144" s="212">
        <v>0</v>
      </c>
      <c r="AG144" s="212">
        <v>0</v>
      </c>
    </row>
    <row r="145" spans="1:33" ht="12" customHeight="1">
      <c r="A145" s="6"/>
      <c r="B145" s="142" t="s">
        <v>864</v>
      </c>
      <c r="C145" s="6"/>
      <c r="D145" s="6"/>
      <c r="E145" s="123" t="s">
        <v>682</v>
      </c>
      <c r="F145" s="6"/>
      <c r="G145" s="6"/>
      <c r="H145" s="6"/>
      <c r="I145" s="6"/>
      <c r="J145" s="129">
        <v>57131</v>
      </c>
      <c r="K145" s="260">
        <v>224167</v>
      </c>
      <c r="L145" s="260"/>
      <c r="M145" s="260"/>
      <c r="N145" s="129">
        <v>224670</v>
      </c>
      <c r="O145" s="129">
        <v>503</v>
      </c>
      <c r="P145" s="167">
        <f>AG141</f>
        <v>62528</v>
      </c>
      <c r="R145" s="115"/>
      <c r="S145" s="142" t="s">
        <v>868</v>
      </c>
      <c r="T145" s="115"/>
      <c r="U145" s="115"/>
      <c r="V145" s="123" t="s">
        <v>686</v>
      </c>
      <c r="W145" s="115"/>
      <c r="X145" s="115"/>
      <c r="Y145" s="115"/>
      <c r="Z145" s="115"/>
      <c r="AA145" s="212">
        <v>0</v>
      </c>
      <c r="AB145" s="260">
        <v>1702</v>
      </c>
      <c r="AC145" s="260"/>
      <c r="AD145" s="260"/>
      <c r="AE145" s="212">
        <v>1702</v>
      </c>
      <c r="AF145" s="212">
        <v>0</v>
      </c>
      <c r="AG145" s="212">
        <v>0</v>
      </c>
    </row>
    <row r="146" spans="1:33" ht="12" customHeight="1">
      <c r="A146" s="6"/>
      <c r="B146" s="142" t="s">
        <v>865</v>
      </c>
      <c r="C146" s="6"/>
      <c r="D146" s="6"/>
      <c r="E146" s="123" t="s">
        <v>683</v>
      </c>
      <c r="F146" s="6"/>
      <c r="G146" s="6"/>
      <c r="H146" s="6"/>
      <c r="I146" s="6"/>
      <c r="J146" s="129">
        <v>307255.95</v>
      </c>
      <c r="K146" s="260">
        <v>1393777.4</v>
      </c>
      <c r="L146" s="260"/>
      <c r="M146" s="260"/>
      <c r="N146" s="129">
        <v>1315245.59</v>
      </c>
      <c r="O146" s="129">
        <v>-78531.81</v>
      </c>
      <c r="P146" s="167">
        <f>AG142</f>
        <v>832184.1</v>
      </c>
      <c r="R146" s="115"/>
      <c r="S146" s="142" t="s">
        <v>870</v>
      </c>
      <c r="T146" s="115"/>
      <c r="U146" s="115"/>
      <c r="V146" s="123" t="s">
        <v>342</v>
      </c>
      <c r="W146" s="115"/>
      <c r="X146" s="115"/>
      <c r="Y146" s="115"/>
      <c r="Z146" s="115"/>
      <c r="AA146" s="212">
        <v>0</v>
      </c>
      <c r="AB146" s="260">
        <v>0</v>
      </c>
      <c r="AC146" s="260"/>
      <c r="AD146" s="260"/>
      <c r="AE146" s="212">
        <v>0</v>
      </c>
      <c r="AF146" s="212">
        <v>0</v>
      </c>
      <c r="AG146" s="212">
        <v>0</v>
      </c>
    </row>
    <row r="147" spans="1:33" ht="12" customHeight="1">
      <c r="A147" s="6"/>
      <c r="B147" s="142" t="s">
        <v>866</v>
      </c>
      <c r="C147" s="6"/>
      <c r="D147" s="6"/>
      <c r="E147" s="123" t="s">
        <v>684</v>
      </c>
      <c r="F147" s="6"/>
      <c r="G147" s="6"/>
      <c r="H147" s="6"/>
      <c r="I147" s="6"/>
      <c r="J147" s="129">
        <v>0</v>
      </c>
      <c r="K147" s="260">
        <v>566924.29</v>
      </c>
      <c r="L147" s="260"/>
      <c r="M147" s="260"/>
      <c r="N147" s="129">
        <v>566924.29</v>
      </c>
      <c r="O147" s="129">
        <v>0</v>
      </c>
      <c r="P147" s="149">
        <v>0</v>
      </c>
      <c r="R147" s="115"/>
      <c r="S147" s="142" t="s">
        <v>871</v>
      </c>
      <c r="T147" s="115"/>
      <c r="U147" s="115"/>
      <c r="V147" s="123" t="s">
        <v>688</v>
      </c>
      <c r="W147" s="115"/>
      <c r="X147" s="115"/>
      <c r="Y147" s="115"/>
      <c r="Z147" s="115"/>
      <c r="AA147" s="212">
        <v>2239.1</v>
      </c>
      <c r="AB147" s="260">
        <v>17736.1</v>
      </c>
      <c r="AC147" s="260"/>
      <c r="AD147" s="260"/>
      <c r="AE147" s="212">
        <v>16034</v>
      </c>
      <c r="AF147" s="212">
        <v>-1702.1</v>
      </c>
      <c r="AG147" s="212">
        <v>537</v>
      </c>
    </row>
    <row r="148" spans="1:33" ht="12" customHeight="1">
      <c r="A148" s="6"/>
      <c r="B148" s="142" t="s">
        <v>867</v>
      </c>
      <c r="C148" s="6"/>
      <c r="D148" s="6"/>
      <c r="E148" s="123" t="s">
        <v>685</v>
      </c>
      <c r="F148" s="6"/>
      <c r="G148" s="6"/>
      <c r="H148" s="6"/>
      <c r="I148" s="6"/>
      <c r="J148" s="129">
        <v>0</v>
      </c>
      <c r="K148" s="260">
        <v>319818.33</v>
      </c>
      <c r="L148" s="260"/>
      <c r="M148" s="260"/>
      <c r="N148" s="129">
        <v>319818.33</v>
      </c>
      <c r="O148" s="129">
        <v>0</v>
      </c>
      <c r="P148" s="149">
        <v>0</v>
      </c>
      <c r="R148" s="115"/>
      <c r="S148" s="142" t="s">
        <v>872</v>
      </c>
      <c r="T148" s="115"/>
      <c r="U148" s="115"/>
      <c r="V148" s="123" t="s">
        <v>689</v>
      </c>
      <c r="W148" s="115"/>
      <c r="X148" s="115"/>
      <c r="Y148" s="115"/>
      <c r="Z148" s="115"/>
      <c r="AA148" s="212">
        <v>6935.43</v>
      </c>
      <c r="AB148" s="260">
        <v>9035.43</v>
      </c>
      <c r="AC148" s="260"/>
      <c r="AD148" s="260"/>
      <c r="AE148" s="212">
        <v>11713.7</v>
      </c>
      <c r="AF148" s="212">
        <v>2678.27</v>
      </c>
      <c r="AG148" s="212">
        <v>9613.7</v>
      </c>
    </row>
    <row r="149" spans="1:33" ht="12" customHeight="1">
      <c r="A149" s="6"/>
      <c r="B149" s="142" t="s">
        <v>868</v>
      </c>
      <c r="C149" s="6"/>
      <c r="D149" s="6"/>
      <c r="E149" s="123" t="s">
        <v>686</v>
      </c>
      <c r="F149" s="6"/>
      <c r="G149" s="6"/>
      <c r="H149" s="6"/>
      <c r="I149" s="6"/>
      <c r="J149" s="129">
        <v>0</v>
      </c>
      <c r="K149" s="260">
        <v>113753.36</v>
      </c>
      <c r="L149" s="260"/>
      <c r="M149" s="260"/>
      <c r="N149" s="129">
        <v>113753.36</v>
      </c>
      <c r="O149" s="129">
        <v>0</v>
      </c>
      <c r="P149" s="149">
        <v>0</v>
      </c>
      <c r="R149" s="115"/>
      <c r="S149" s="142" t="s">
        <v>873</v>
      </c>
      <c r="T149" s="115"/>
      <c r="U149" s="115"/>
      <c r="V149" s="123" t="s">
        <v>690</v>
      </c>
      <c r="W149" s="115"/>
      <c r="X149" s="115"/>
      <c r="Y149" s="115"/>
      <c r="Z149" s="115"/>
      <c r="AA149" s="212">
        <v>4570.4</v>
      </c>
      <c r="AB149" s="260">
        <v>29617.98</v>
      </c>
      <c r="AC149" s="260"/>
      <c r="AD149" s="260"/>
      <c r="AE149" s="212">
        <v>28117.08</v>
      </c>
      <c r="AF149" s="212">
        <v>-1500.9</v>
      </c>
      <c r="AG149" s="212">
        <v>3069.5</v>
      </c>
    </row>
    <row r="150" spans="1:33" ht="12" customHeight="1">
      <c r="A150" s="6"/>
      <c r="B150" s="142" t="s">
        <v>869</v>
      </c>
      <c r="C150" s="6"/>
      <c r="D150" s="6"/>
      <c r="E150" s="123" t="s">
        <v>687</v>
      </c>
      <c r="F150" s="6"/>
      <c r="G150" s="6"/>
      <c r="H150" s="6"/>
      <c r="I150" s="6"/>
      <c r="J150" s="129">
        <v>446821</v>
      </c>
      <c r="K150" s="260">
        <v>446821</v>
      </c>
      <c r="L150" s="260"/>
      <c r="M150" s="260"/>
      <c r="N150" s="129">
        <v>0</v>
      </c>
      <c r="O150" s="129">
        <v>-446821</v>
      </c>
      <c r="P150" s="149">
        <v>0</v>
      </c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</row>
    <row r="151" spans="1:33" ht="18.75" customHeight="1">
      <c r="A151" s="6"/>
      <c r="B151" s="142" t="s">
        <v>870</v>
      </c>
      <c r="C151" s="6"/>
      <c r="D151" s="6"/>
      <c r="E151" s="123" t="s">
        <v>342</v>
      </c>
      <c r="F151" s="6"/>
      <c r="G151" s="6"/>
      <c r="H151" s="6"/>
      <c r="I151" s="6"/>
      <c r="J151" s="129">
        <v>0</v>
      </c>
      <c r="K151" s="260">
        <v>0</v>
      </c>
      <c r="L151" s="260"/>
      <c r="M151" s="260"/>
      <c r="N151" s="129">
        <v>0</v>
      </c>
      <c r="O151" s="129">
        <v>0</v>
      </c>
      <c r="P151" s="149">
        <v>0</v>
      </c>
      <c r="R151" s="115"/>
      <c r="S151" s="7" t="s">
        <v>269</v>
      </c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264" t="s">
        <v>845</v>
      </c>
      <c r="AG151" s="264"/>
    </row>
    <row r="152" spans="1:33" ht="12.75" customHeight="1" thickBot="1">
      <c r="A152" s="6"/>
      <c r="B152" s="142" t="s">
        <v>871</v>
      </c>
      <c r="C152" s="115"/>
      <c r="D152" s="115"/>
      <c r="E152" s="123" t="s">
        <v>688</v>
      </c>
      <c r="F152" s="115"/>
      <c r="G152" s="115"/>
      <c r="H152" s="115"/>
      <c r="I152" s="115"/>
      <c r="J152" s="149"/>
      <c r="K152" s="149"/>
      <c r="L152" s="149"/>
      <c r="M152" s="149"/>
      <c r="N152" s="149"/>
      <c r="O152" s="149"/>
      <c r="P152" s="167">
        <f>AG147</f>
        <v>537</v>
      </c>
      <c r="R152" s="115"/>
      <c r="S152" s="8" t="s">
        <v>271</v>
      </c>
      <c r="T152" s="9"/>
      <c r="U152" s="9"/>
      <c r="V152" s="9"/>
      <c r="W152" s="9"/>
      <c r="X152" s="9"/>
      <c r="Y152" s="133" t="s">
        <v>272</v>
      </c>
      <c r="Z152" s="9"/>
      <c r="AA152" s="9"/>
      <c r="AB152" s="9"/>
      <c r="AC152" s="133" t="s">
        <v>1109</v>
      </c>
      <c r="AD152" s="133" t="s">
        <v>1124</v>
      </c>
      <c r="AE152" s="9"/>
      <c r="AF152" s="265" t="s">
        <v>273</v>
      </c>
      <c r="AG152" s="265"/>
    </row>
    <row r="153" spans="1:33" ht="18.75" customHeight="1" thickTop="1">
      <c r="A153" s="6"/>
      <c r="B153" s="142" t="s">
        <v>872</v>
      </c>
      <c r="C153" s="115"/>
      <c r="D153" s="115"/>
      <c r="E153" s="123" t="s">
        <v>689</v>
      </c>
      <c r="F153" s="115"/>
      <c r="G153" s="115"/>
      <c r="H153" s="115"/>
      <c r="I153" s="115"/>
      <c r="J153" s="149"/>
      <c r="K153" s="149"/>
      <c r="L153" s="149"/>
      <c r="M153" s="149"/>
      <c r="N153" s="149"/>
      <c r="O153" s="149"/>
      <c r="P153" s="190">
        <f>AG148</f>
        <v>9613.7</v>
      </c>
      <c r="R153" s="115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12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R154" s="115"/>
      <c r="S154" s="12" t="s">
        <v>274</v>
      </c>
      <c r="T154" s="115"/>
      <c r="U154" s="115"/>
      <c r="V154" s="115"/>
      <c r="W154" s="115"/>
      <c r="X154" s="115"/>
      <c r="Y154" s="115"/>
      <c r="Z154" s="115"/>
      <c r="AA154" s="216" t="s">
        <v>1084</v>
      </c>
      <c r="AB154" s="261" t="s">
        <v>1085</v>
      </c>
      <c r="AC154" s="261"/>
      <c r="AD154" s="261"/>
      <c r="AE154" s="216" t="s">
        <v>1086</v>
      </c>
      <c r="AF154" s="216" t="s">
        <v>1087</v>
      </c>
      <c r="AG154" s="216" t="s">
        <v>1088</v>
      </c>
    </row>
    <row r="155" spans="1:33" ht="12" customHeight="1">
      <c r="A155" s="6"/>
      <c r="B155" s="7" t="s">
        <v>269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64" t="s">
        <v>845</v>
      </c>
      <c r="P155" s="264"/>
      <c r="R155" s="115"/>
      <c r="S155" s="115"/>
      <c r="T155" s="115"/>
      <c r="U155" s="12" t="s">
        <v>279</v>
      </c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</row>
    <row r="156" spans="1:33" ht="14.25" customHeight="1" thickBot="1">
      <c r="A156" s="6"/>
      <c r="B156" s="8" t="s">
        <v>271</v>
      </c>
      <c r="C156" s="9"/>
      <c r="D156" s="9"/>
      <c r="E156" s="9"/>
      <c r="F156" s="9"/>
      <c r="G156" s="9"/>
      <c r="H156" s="10" t="s">
        <v>272</v>
      </c>
      <c r="I156" s="9"/>
      <c r="J156" s="9"/>
      <c r="K156" s="9"/>
      <c r="L156" s="10" t="s">
        <v>637</v>
      </c>
      <c r="M156" s="10" t="s">
        <v>849</v>
      </c>
      <c r="N156" s="9"/>
      <c r="O156" s="265" t="s">
        <v>273</v>
      </c>
      <c r="P156" s="265"/>
      <c r="R156" s="115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1:33" ht="12" customHeight="1" thickTop="1">
      <c r="A157" s="6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R157" s="115"/>
      <c r="S157" s="141" t="s">
        <v>874</v>
      </c>
      <c r="T157" s="14"/>
      <c r="U157" s="14"/>
      <c r="V157" s="124" t="s">
        <v>343</v>
      </c>
      <c r="W157" s="14"/>
      <c r="X157" s="14"/>
      <c r="Y157" s="14"/>
      <c r="Z157" s="14"/>
      <c r="AA157" s="214">
        <v>0</v>
      </c>
      <c r="AB157" s="263">
        <v>0</v>
      </c>
      <c r="AC157" s="263"/>
      <c r="AD157" s="263"/>
      <c r="AE157" s="214">
        <v>0</v>
      </c>
      <c r="AF157" s="214">
        <v>0</v>
      </c>
      <c r="AG157" s="214">
        <v>0</v>
      </c>
    </row>
    <row r="158" spans="1:33" ht="12" customHeight="1">
      <c r="A158" s="6"/>
      <c r="B158" s="12" t="s">
        <v>274</v>
      </c>
      <c r="C158" s="6"/>
      <c r="D158" s="6"/>
      <c r="E158" s="6"/>
      <c r="F158" s="6"/>
      <c r="G158" s="6"/>
      <c r="H158" s="6"/>
      <c r="I158" s="6"/>
      <c r="J158" s="128" t="s">
        <v>275</v>
      </c>
      <c r="K158" s="261" t="s">
        <v>276</v>
      </c>
      <c r="L158" s="261"/>
      <c r="M158" s="261"/>
      <c r="N158" s="128" t="s">
        <v>276</v>
      </c>
      <c r="O158" s="128" t="s">
        <v>277</v>
      </c>
      <c r="P158" s="128" t="s">
        <v>278</v>
      </c>
      <c r="R158" s="115"/>
      <c r="S158" s="142" t="s">
        <v>875</v>
      </c>
      <c r="T158" s="115"/>
      <c r="U158" s="115"/>
      <c r="V158" s="123" t="s">
        <v>344</v>
      </c>
      <c r="W158" s="115"/>
      <c r="X158" s="115"/>
      <c r="Y158" s="115"/>
      <c r="Z158" s="115"/>
      <c r="AA158" s="212">
        <v>0</v>
      </c>
      <c r="AB158" s="260">
        <v>0</v>
      </c>
      <c r="AC158" s="260"/>
      <c r="AD158" s="260"/>
      <c r="AE158" s="212">
        <v>0</v>
      </c>
      <c r="AF158" s="212">
        <v>0</v>
      </c>
      <c r="AG158" s="212">
        <v>0</v>
      </c>
    </row>
    <row r="159" spans="1:33" ht="12" customHeight="1">
      <c r="A159" s="6"/>
      <c r="B159" s="6"/>
      <c r="C159" s="6"/>
      <c r="D159" s="12" t="s">
        <v>279</v>
      </c>
      <c r="E159" s="6"/>
      <c r="F159" s="6"/>
      <c r="G159" s="6"/>
      <c r="H159" s="6"/>
      <c r="I159" s="6"/>
      <c r="J159" s="128" t="s">
        <v>280</v>
      </c>
      <c r="K159" s="261" t="s">
        <v>281</v>
      </c>
      <c r="L159" s="261"/>
      <c r="M159" s="261"/>
      <c r="N159" s="128" t="s">
        <v>282</v>
      </c>
      <c r="O159" s="128" t="s">
        <v>283</v>
      </c>
      <c r="P159" s="128" t="s">
        <v>280</v>
      </c>
      <c r="R159" s="115"/>
      <c r="S159" s="142" t="s">
        <v>876</v>
      </c>
      <c r="T159" s="115"/>
      <c r="U159" s="115"/>
      <c r="V159" s="123" t="s">
        <v>344</v>
      </c>
      <c r="W159" s="115"/>
      <c r="X159" s="115"/>
      <c r="Y159" s="115"/>
      <c r="Z159" s="115"/>
      <c r="AA159" s="212">
        <v>0</v>
      </c>
      <c r="AB159" s="260">
        <v>0</v>
      </c>
      <c r="AC159" s="260"/>
      <c r="AD159" s="260"/>
      <c r="AE159" s="212">
        <v>0</v>
      </c>
      <c r="AF159" s="212">
        <v>0</v>
      </c>
      <c r="AG159" s="212">
        <v>0</v>
      </c>
    </row>
    <row r="160" spans="1:33" ht="12" customHeight="1" thickBot="1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R160" s="115"/>
      <c r="S160" s="142" t="s">
        <v>877</v>
      </c>
      <c r="T160" s="115"/>
      <c r="U160" s="115"/>
      <c r="V160" s="123" t="s">
        <v>691</v>
      </c>
      <c r="W160" s="115"/>
      <c r="X160" s="115"/>
      <c r="Y160" s="115"/>
      <c r="Z160" s="115"/>
      <c r="AA160" s="212">
        <v>26260</v>
      </c>
      <c r="AB160" s="260">
        <v>94520</v>
      </c>
      <c r="AC160" s="260"/>
      <c r="AD160" s="260"/>
      <c r="AE160" s="212">
        <v>97538</v>
      </c>
      <c r="AF160" s="212">
        <v>3018</v>
      </c>
      <c r="AG160" s="212">
        <v>29278</v>
      </c>
    </row>
    <row r="161" spans="1:33" ht="12" customHeight="1">
      <c r="A161" s="6"/>
      <c r="B161" s="141" t="s">
        <v>873</v>
      </c>
      <c r="C161" s="14"/>
      <c r="D161" s="14"/>
      <c r="E161" s="124" t="s">
        <v>690</v>
      </c>
      <c r="F161" s="14"/>
      <c r="G161" s="14"/>
      <c r="H161" s="14"/>
      <c r="I161" s="14"/>
      <c r="J161" s="131">
        <v>-1335</v>
      </c>
      <c r="K161" s="263">
        <v>29791.32</v>
      </c>
      <c r="L161" s="263"/>
      <c r="M161" s="263"/>
      <c r="N161" s="131">
        <v>34354.32</v>
      </c>
      <c r="O161" s="131">
        <v>4563</v>
      </c>
      <c r="P161" s="148">
        <f>AG149</f>
        <v>3069.5</v>
      </c>
      <c r="R161" s="115"/>
      <c r="S161" s="142" t="s">
        <v>878</v>
      </c>
      <c r="T161" s="115"/>
      <c r="U161" s="115"/>
      <c r="V161" s="123" t="s">
        <v>692</v>
      </c>
      <c r="W161" s="115"/>
      <c r="X161" s="115"/>
      <c r="Y161" s="115"/>
      <c r="Z161" s="115"/>
      <c r="AA161" s="212">
        <v>33716</v>
      </c>
      <c r="AB161" s="260">
        <v>101229</v>
      </c>
      <c r="AC161" s="260"/>
      <c r="AD161" s="260"/>
      <c r="AE161" s="212">
        <v>101218</v>
      </c>
      <c r="AF161" s="212">
        <v>-11</v>
      </c>
      <c r="AG161" s="212">
        <v>33705</v>
      </c>
    </row>
    <row r="162" spans="1:33" ht="12" customHeight="1">
      <c r="A162" s="6"/>
      <c r="B162" s="142" t="s">
        <v>874</v>
      </c>
      <c r="C162" s="6"/>
      <c r="D162" s="6"/>
      <c r="E162" s="123" t="s">
        <v>343</v>
      </c>
      <c r="F162" s="6"/>
      <c r="G162" s="6"/>
      <c r="H162" s="6"/>
      <c r="I162" s="6"/>
      <c r="J162" s="129">
        <v>1500</v>
      </c>
      <c r="K162" s="260">
        <v>38930</v>
      </c>
      <c r="L162" s="260"/>
      <c r="M162" s="260"/>
      <c r="N162" s="129">
        <v>59688.35</v>
      </c>
      <c r="O162" s="129">
        <v>20758.35</v>
      </c>
      <c r="P162" s="149">
        <f>AG157</f>
        <v>0</v>
      </c>
      <c r="R162" s="115"/>
      <c r="S162" s="142" t="s">
        <v>879</v>
      </c>
      <c r="T162" s="115"/>
      <c r="U162" s="115"/>
      <c r="V162" s="123" t="s">
        <v>693</v>
      </c>
      <c r="W162" s="115"/>
      <c r="X162" s="115"/>
      <c r="Y162" s="115"/>
      <c r="Z162" s="115"/>
      <c r="AA162" s="212">
        <v>10173</v>
      </c>
      <c r="AB162" s="260">
        <v>30519</v>
      </c>
      <c r="AC162" s="260"/>
      <c r="AD162" s="260"/>
      <c r="AE162" s="212">
        <v>30490</v>
      </c>
      <c r="AF162" s="212">
        <v>-29</v>
      </c>
      <c r="AG162" s="212">
        <v>10144</v>
      </c>
    </row>
    <row r="163" spans="1:33" ht="12" customHeight="1">
      <c r="A163" s="6"/>
      <c r="B163" s="142" t="s">
        <v>875</v>
      </c>
      <c r="C163" s="6"/>
      <c r="D163" s="6"/>
      <c r="E163" s="123" t="s">
        <v>344</v>
      </c>
      <c r="F163" s="6"/>
      <c r="G163" s="6"/>
      <c r="H163" s="6"/>
      <c r="I163" s="6"/>
      <c r="J163" s="129">
        <v>11730</v>
      </c>
      <c r="K163" s="260">
        <v>11730</v>
      </c>
      <c r="L163" s="260"/>
      <c r="M163" s="260"/>
      <c r="N163" s="129">
        <v>44203.39</v>
      </c>
      <c r="O163" s="129">
        <v>32473.39</v>
      </c>
      <c r="P163" s="149">
        <v>0</v>
      </c>
      <c r="R163" s="115"/>
      <c r="S163" s="142" t="s">
        <v>880</v>
      </c>
      <c r="T163" s="115"/>
      <c r="U163" s="115"/>
      <c r="V163" s="123" t="s">
        <v>694</v>
      </c>
      <c r="W163" s="115"/>
      <c r="X163" s="115"/>
      <c r="Y163" s="115"/>
      <c r="Z163" s="115"/>
      <c r="AA163" s="212">
        <v>4369</v>
      </c>
      <c r="AB163" s="260">
        <v>13144</v>
      </c>
      <c r="AC163" s="260"/>
      <c r="AD163" s="260"/>
      <c r="AE163" s="212">
        <v>13169</v>
      </c>
      <c r="AF163" s="212">
        <v>25</v>
      </c>
      <c r="AG163" s="212">
        <v>4394</v>
      </c>
    </row>
    <row r="164" spans="1:33" ht="12" customHeight="1">
      <c r="A164" s="6"/>
      <c r="B164" s="142" t="s">
        <v>876</v>
      </c>
      <c r="C164" s="6"/>
      <c r="D164" s="6"/>
      <c r="E164" s="123" t="s">
        <v>344</v>
      </c>
      <c r="F164" s="6"/>
      <c r="G164" s="6"/>
      <c r="H164" s="6"/>
      <c r="I164" s="6"/>
      <c r="J164" s="129">
        <v>0</v>
      </c>
      <c r="K164" s="260">
        <v>0</v>
      </c>
      <c r="L164" s="260"/>
      <c r="M164" s="260"/>
      <c r="N164" s="129">
        <v>0</v>
      </c>
      <c r="O164" s="129">
        <v>0</v>
      </c>
      <c r="P164" s="149">
        <v>0</v>
      </c>
      <c r="R164" s="115"/>
      <c r="S164" s="142" t="s">
        <v>881</v>
      </c>
      <c r="T164" s="115"/>
      <c r="U164" s="115"/>
      <c r="V164" s="123" t="s">
        <v>695</v>
      </c>
      <c r="W164" s="115"/>
      <c r="X164" s="115"/>
      <c r="Y164" s="115"/>
      <c r="Z164" s="115"/>
      <c r="AA164" s="212">
        <v>0</v>
      </c>
      <c r="AB164" s="260">
        <v>0</v>
      </c>
      <c r="AC164" s="260"/>
      <c r="AD164" s="260"/>
      <c r="AE164" s="212">
        <v>0</v>
      </c>
      <c r="AF164" s="212">
        <v>0</v>
      </c>
      <c r="AG164" s="212">
        <v>0</v>
      </c>
    </row>
    <row r="165" spans="1:33" ht="12" customHeight="1">
      <c r="A165" s="6"/>
      <c r="B165" s="142" t="s">
        <v>877</v>
      </c>
      <c r="C165" s="6"/>
      <c r="D165" s="6"/>
      <c r="E165" s="123" t="s">
        <v>691</v>
      </c>
      <c r="F165" s="6"/>
      <c r="G165" s="6"/>
      <c r="H165" s="6"/>
      <c r="I165" s="6"/>
      <c r="J165" s="129">
        <v>0</v>
      </c>
      <c r="K165" s="260">
        <v>0</v>
      </c>
      <c r="L165" s="260"/>
      <c r="M165" s="260"/>
      <c r="N165" s="129">
        <v>0</v>
      </c>
      <c r="O165" s="129">
        <v>0</v>
      </c>
      <c r="P165" s="149">
        <f>AG160</f>
        <v>29278</v>
      </c>
      <c r="R165" s="115"/>
      <c r="S165" s="142" t="s">
        <v>882</v>
      </c>
      <c r="T165" s="115"/>
      <c r="U165" s="115"/>
      <c r="V165" s="123" t="s">
        <v>696</v>
      </c>
      <c r="W165" s="115"/>
      <c r="X165" s="115"/>
      <c r="Y165" s="115"/>
      <c r="Z165" s="115"/>
      <c r="AA165" s="212">
        <v>158252</v>
      </c>
      <c r="AB165" s="260">
        <v>42952</v>
      </c>
      <c r="AC165" s="260"/>
      <c r="AD165" s="260"/>
      <c r="AE165" s="212">
        <v>189000</v>
      </c>
      <c r="AF165" s="212">
        <v>146048</v>
      </c>
      <c r="AG165" s="212">
        <v>304300</v>
      </c>
    </row>
    <row r="166" spans="1:33" ht="12" customHeight="1">
      <c r="A166" s="6"/>
      <c r="B166" s="142" t="s">
        <v>896</v>
      </c>
      <c r="C166" s="6"/>
      <c r="D166" s="6"/>
      <c r="E166" s="123" t="s">
        <v>897</v>
      </c>
      <c r="F166" s="6"/>
      <c r="G166" s="6"/>
      <c r="H166" s="6"/>
      <c r="I166" s="6"/>
      <c r="J166" s="129">
        <v>0</v>
      </c>
      <c r="K166" s="260">
        <v>0</v>
      </c>
      <c r="L166" s="260"/>
      <c r="M166" s="260"/>
      <c r="N166" s="129">
        <v>0</v>
      </c>
      <c r="O166" s="129">
        <v>0</v>
      </c>
      <c r="P166" s="149">
        <v>0</v>
      </c>
      <c r="R166" s="115"/>
      <c r="S166" s="142" t="s">
        <v>883</v>
      </c>
      <c r="T166" s="115"/>
      <c r="U166" s="115"/>
      <c r="V166" s="123" t="s">
        <v>697</v>
      </c>
      <c r="W166" s="115"/>
      <c r="X166" s="115"/>
      <c r="Y166" s="115"/>
      <c r="Z166" s="115"/>
      <c r="AA166" s="212">
        <v>381.27</v>
      </c>
      <c r="AB166" s="260">
        <v>506.72</v>
      </c>
      <c r="AC166" s="260"/>
      <c r="AD166" s="260"/>
      <c r="AE166" s="212">
        <v>0</v>
      </c>
      <c r="AF166" s="212">
        <v>-506.72</v>
      </c>
      <c r="AG166" s="212">
        <v>-125.45</v>
      </c>
    </row>
    <row r="167" spans="1:33" ht="12" customHeight="1">
      <c r="A167" s="6"/>
      <c r="B167" s="142" t="s">
        <v>878</v>
      </c>
      <c r="C167" s="6"/>
      <c r="D167" s="6"/>
      <c r="E167" s="123" t="s">
        <v>692</v>
      </c>
      <c r="F167" s="6"/>
      <c r="G167" s="6"/>
      <c r="H167" s="6"/>
      <c r="I167" s="6"/>
      <c r="J167" s="129">
        <v>160347</v>
      </c>
      <c r="K167" s="260">
        <v>653554</v>
      </c>
      <c r="L167" s="260"/>
      <c r="M167" s="260"/>
      <c r="N167" s="129">
        <v>647417</v>
      </c>
      <c r="O167" s="129">
        <v>-6137</v>
      </c>
      <c r="P167" s="149">
        <f>AG161</f>
        <v>33705</v>
      </c>
      <c r="R167" s="115"/>
      <c r="S167" s="142" t="s">
        <v>884</v>
      </c>
      <c r="T167" s="115"/>
      <c r="U167" s="115"/>
      <c r="V167" s="123" t="s">
        <v>698</v>
      </c>
      <c r="W167" s="115"/>
      <c r="X167" s="115"/>
      <c r="Y167" s="115"/>
      <c r="Z167" s="115"/>
      <c r="AA167" s="212">
        <v>-86093.73</v>
      </c>
      <c r="AB167" s="260">
        <v>437702.45</v>
      </c>
      <c r="AC167" s="260"/>
      <c r="AD167" s="260"/>
      <c r="AE167" s="212">
        <v>436150.42</v>
      </c>
      <c r="AF167" s="212">
        <v>-1552.03</v>
      </c>
      <c r="AG167" s="212">
        <v>-87645.76</v>
      </c>
    </row>
    <row r="168" spans="1:33" ht="12" customHeight="1">
      <c r="A168" s="6"/>
      <c r="B168" s="142" t="s">
        <v>879</v>
      </c>
      <c r="C168" s="6"/>
      <c r="D168" s="6"/>
      <c r="E168" s="123" t="s">
        <v>693</v>
      </c>
      <c r="F168" s="6"/>
      <c r="G168" s="6"/>
      <c r="H168" s="6"/>
      <c r="I168" s="6"/>
      <c r="J168" s="129">
        <v>93211</v>
      </c>
      <c r="K168" s="260">
        <v>278250</v>
      </c>
      <c r="L168" s="260"/>
      <c r="M168" s="260"/>
      <c r="N168" s="129">
        <v>274716</v>
      </c>
      <c r="O168" s="129">
        <v>-3534</v>
      </c>
      <c r="P168" s="149">
        <f>AG162</f>
        <v>10144</v>
      </c>
      <c r="R168" s="115"/>
      <c r="S168" s="142" t="s">
        <v>964</v>
      </c>
      <c r="T168" s="115"/>
      <c r="U168" s="115"/>
      <c r="V168" s="123" t="s">
        <v>965</v>
      </c>
      <c r="W168" s="115"/>
      <c r="X168" s="115"/>
      <c r="Y168" s="115"/>
      <c r="Z168" s="115"/>
      <c r="AA168" s="212">
        <v>-26</v>
      </c>
      <c r="AB168" s="260">
        <v>4500</v>
      </c>
      <c r="AC168" s="260"/>
      <c r="AD168" s="260"/>
      <c r="AE168" s="212">
        <v>4500</v>
      </c>
      <c r="AF168" s="212">
        <v>0</v>
      </c>
      <c r="AG168" s="212">
        <v>-26</v>
      </c>
    </row>
    <row r="169" spans="1:33" ht="12" customHeight="1">
      <c r="A169" s="6"/>
      <c r="B169" s="142" t="s">
        <v>880</v>
      </c>
      <c r="C169" s="6"/>
      <c r="D169" s="6"/>
      <c r="E169" s="123" t="s">
        <v>694</v>
      </c>
      <c r="F169" s="6"/>
      <c r="G169" s="6"/>
      <c r="H169" s="6"/>
      <c r="I169" s="6"/>
      <c r="J169" s="129">
        <v>26237</v>
      </c>
      <c r="K169" s="260">
        <v>77879</v>
      </c>
      <c r="L169" s="260"/>
      <c r="M169" s="260"/>
      <c r="N169" s="129">
        <v>75345</v>
      </c>
      <c r="O169" s="129">
        <v>-2534</v>
      </c>
      <c r="P169" s="149">
        <f>AG163</f>
        <v>4394</v>
      </c>
      <c r="R169" s="115"/>
      <c r="S169" s="142" t="s">
        <v>885</v>
      </c>
      <c r="T169" s="115"/>
      <c r="U169" s="115"/>
      <c r="V169" s="123" t="s">
        <v>699</v>
      </c>
      <c r="W169" s="115"/>
      <c r="X169" s="115"/>
      <c r="Y169" s="115"/>
      <c r="Z169" s="115"/>
      <c r="AA169" s="212">
        <v>109598.48</v>
      </c>
      <c r="AB169" s="260">
        <v>416974.75</v>
      </c>
      <c r="AC169" s="260"/>
      <c r="AD169" s="260"/>
      <c r="AE169" s="212">
        <v>420237.65</v>
      </c>
      <c r="AF169" s="212">
        <v>3262.9</v>
      </c>
      <c r="AG169" s="212">
        <v>112861.38</v>
      </c>
    </row>
    <row r="170" spans="1:33" ht="12" customHeight="1">
      <c r="A170" s="6"/>
      <c r="B170" s="142" t="s">
        <v>881</v>
      </c>
      <c r="C170" s="6"/>
      <c r="D170" s="6"/>
      <c r="E170" s="123" t="s">
        <v>695</v>
      </c>
      <c r="F170" s="6"/>
      <c r="G170" s="6"/>
      <c r="H170" s="6"/>
      <c r="I170" s="6"/>
      <c r="J170" s="129">
        <v>6357</v>
      </c>
      <c r="K170" s="260">
        <v>20878</v>
      </c>
      <c r="L170" s="260"/>
      <c r="M170" s="260"/>
      <c r="N170" s="129">
        <v>23933</v>
      </c>
      <c r="O170" s="129">
        <v>3055</v>
      </c>
      <c r="P170" s="149">
        <v>0</v>
      </c>
      <c r="R170" s="115"/>
      <c r="S170" s="142" t="s">
        <v>886</v>
      </c>
      <c r="T170" s="115"/>
      <c r="U170" s="115"/>
      <c r="V170" s="123" t="s">
        <v>700</v>
      </c>
      <c r="W170" s="115"/>
      <c r="X170" s="115"/>
      <c r="Y170" s="115"/>
      <c r="Z170" s="115"/>
      <c r="AA170" s="212">
        <v>6905</v>
      </c>
      <c r="AB170" s="260">
        <v>14992</v>
      </c>
      <c r="AC170" s="260"/>
      <c r="AD170" s="260"/>
      <c r="AE170" s="212">
        <v>12108</v>
      </c>
      <c r="AF170" s="212">
        <v>-2884</v>
      </c>
      <c r="AG170" s="212">
        <v>4021</v>
      </c>
    </row>
    <row r="171" spans="1:33" ht="12" customHeight="1">
      <c r="A171" s="6"/>
      <c r="B171" s="142" t="s">
        <v>882</v>
      </c>
      <c r="C171" s="6"/>
      <c r="D171" s="6"/>
      <c r="E171" s="123" t="s">
        <v>696</v>
      </c>
      <c r="F171" s="6"/>
      <c r="G171" s="6"/>
      <c r="H171" s="6"/>
      <c r="I171" s="6"/>
      <c r="J171" s="129">
        <v>7355</v>
      </c>
      <c r="K171" s="260">
        <v>20496</v>
      </c>
      <c r="L171" s="260"/>
      <c r="M171" s="260"/>
      <c r="N171" s="129">
        <v>18460</v>
      </c>
      <c r="O171" s="129">
        <v>-2036</v>
      </c>
      <c r="P171" s="149">
        <f aca="true" t="shared" si="1" ref="P171:P177">AG165</f>
        <v>304300</v>
      </c>
      <c r="R171" s="115"/>
      <c r="S171" s="142" t="s">
        <v>887</v>
      </c>
      <c r="T171" s="115"/>
      <c r="U171" s="115"/>
      <c r="V171" s="123" t="s">
        <v>701</v>
      </c>
      <c r="W171" s="115"/>
      <c r="X171" s="115"/>
      <c r="Y171" s="115"/>
      <c r="Z171" s="115"/>
      <c r="AA171" s="212">
        <v>131634.79</v>
      </c>
      <c r="AB171" s="259">
        <v>0</v>
      </c>
      <c r="AC171" s="259"/>
      <c r="AD171" s="259"/>
      <c r="AE171" s="212">
        <v>0</v>
      </c>
      <c r="AF171" s="212">
        <v>0</v>
      </c>
      <c r="AG171" s="212">
        <v>131634.79</v>
      </c>
    </row>
    <row r="172" spans="1:33" ht="12" customHeight="1">
      <c r="A172" s="6"/>
      <c r="B172" s="142" t="s">
        <v>883</v>
      </c>
      <c r="C172" s="6"/>
      <c r="D172" s="6"/>
      <c r="E172" s="123" t="s">
        <v>697</v>
      </c>
      <c r="F172" s="6"/>
      <c r="G172" s="6"/>
      <c r="H172" s="6"/>
      <c r="I172" s="6"/>
      <c r="J172" s="129">
        <v>-842700</v>
      </c>
      <c r="K172" s="260">
        <v>0</v>
      </c>
      <c r="L172" s="260"/>
      <c r="M172" s="260"/>
      <c r="N172" s="129">
        <v>0</v>
      </c>
      <c r="O172" s="129">
        <v>0</v>
      </c>
      <c r="P172" s="149">
        <f t="shared" si="1"/>
        <v>-125.45</v>
      </c>
      <c r="R172" s="115"/>
      <c r="S172" s="12" t="s">
        <v>345</v>
      </c>
      <c r="T172" s="115"/>
      <c r="U172" s="12" t="s">
        <v>346</v>
      </c>
      <c r="V172" s="115"/>
      <c r="W172" s="115"/>
      <c r="X172" s="115"/>
      <c r="Y172" s="115"/>
      <c r="Z172" s="115"/>
      <c r="AA172" s="213">
        <v>1984013.99</v>
      </c>
      <c r="AB172" s="266">
        <v>4294548.95</v>
      </c>
      <c r="AC172" s="266"/>
      <c r="AD172" s="266"/>
      <c r="AE172" s="213">
        <v>4466008.22</v>
      </c>
      <c r="AF172" s="213">
        <v>171459.27</v>
      </c>
      <c r="AG172" s="213">
        <v>2155473.26</v>
      </c>
    </row>
    <row r="173" spans="1:33" ht="12" customHeight="1">
      <c r="A173" s="6"/>
      <c r="B173" s="142" t="s">
        <v>884</v>
      </c>
      <c r="C173" s="6"/>
      <c r="D173" s="6"/>
      <c r="E173" s="123" t="s">
        <v>698</v>
      </c>
      <c r="F173" s="6"/>
      <c r="G173" s="6"/>
      <c r="H173" s="6"/>
      <c r="I173" s="6"/>
      <c r="J173" s="129">
        <v>424.48</v>
      </c>
      <c r="K173" s="260">
        <v>1551.38</v>
      </c>
      <c r="L173" s="260"/>
      <c r="M173" s="260"/>
      <c r="N173" s="129">
        <v>1189.16</v>
      </c>
      <c r="O173" s="129">
        <v>-362.22</v>
      </c>
      <c r="P173" s="149">
        <f t="shared" si="1"/>
        <v>-87645.76</v>
      </c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</row>
    <row r="174" spans="1:33" ht="12" customHeight="1">
      <c r="A174" s="6"/>
      <c r="B174" s="142" t="s">
        <v>964</v>
      </c>
      <c r="C174" s="115"/>
      <c r="D174" s="115"/>
      <c r="E174" s="123" t="s">
        <v>965</v>
      </c>
      <c r="F174" s="115"/>
      <c r="G174" s="115"/>
      <c r="H174" s="115"/>
      <c r="I174" s="115"/>
      <c r="J174" s="159"/>
      <c r="K174" s="159"/>
      <c r="L174" s="159"/>
      <c r="M174" s="159"/>
      <c r="N174" s="159"/>
      <c r="O174" s="159"/>
      <c r="P174" s="159">
        <f t="shared" si="1"/>
        <v>-26</v>
      </c>
      <c r="R174" s="115"/>
      <c r="S174" s="142" t="s">
        <v>893</v>
      </c>
      <c r="T174" s="115"/>
      <c r="U174" s="115"/>
      <c r="V174" s="123" t="s">
        <v>846</v>
      </c>
      <c r="W174" s="115"/>
      <c r="X174" s="115"/>
      <c r="Y174" s="115"/>
      <c r="Z174" s="115"/>
      <c r="AA174" s="212">
        <v>0</v>
      </c>
      <c r="AB174" s="260">
        <v>0</v>
      </c>
      <c r="AC174" s="260"/>
      <c r="AD174" s="260"/>
      <c r="AE174" s="212">
        <v>0</v>
      </c>
      <c r="AF174" s="212">
        <v>0</v>
      </c>
      <c r="AG174" s="212">
        <v>0</v>
      </c>
    </row>
    <row r="175" spans="1:33" ht="12" customHeight="1">
      <c r="A175" s="6"/>
      <c r="B175" s="142" t="s">
        <v>885</v>
      </c>
      <c r="C175" s="6"/>
      <c r="D175" s="6"/>
      <c r="E175" s="123" t="s">
        <v>699</v>
      </c>
      <c r="F175" s="6"/>
      <c r="G175" s="6"/>
      <c r="H175" s="6"/>
      <c r="I175" s="6"/>
      <c r="J175" s="129">
        <v>-8269.03</v>
      </c>
      <c r="K175" s="260">
        <v>273883.58</v>
      </c>
      <c r="L175" s="260"/>
      <c r="M175" s="260"/>
      <c r="N175" s="129">
        <v>250863.35</v>
      </c>
      <c r="O175" s="129">
        <v>-23020.23</v>
      </c>
      <c r="P175" s="149">
        <f t="shared" si="1"/>
        <v>112861.38</v>
      </c>
      <c r="R175" s="115"/>
      <c r="S175" s="142" t="s">
        <v>894</v>
      </c>
      <c r="T175" s="115"/>
      <c r="U175" s="115"/>
      <c r="V175" s="123" t="s">
        <v>702</v>
      </c>
      <c r="W175" s="115"/>
      <c r="X175" s="115"/>
      <c r="Y175" s="115"/>
      <c r="Z175" s="115"/>
      <c r="AA175" s="212">
        <v>0</v>
      </c>
      <c r="AB175" s="260">
        <v>0</v>
      </c>
      <c r="AC175" s="260"/>
      <c r="AD175" s="260"/>
      <c r="AE175" s="212">
        <v>0</v>
      </c>
      <c r="AF175" s="212">
        <v>0</v>
      </c>
      <c r="AG175" s="212">
        <v>0</v>
      </c>
    </row>
    <row r="176" spans="1:33" ht="12" customHeight="1">
      <c r="A176" s="6"/>
      <c r="B176" s="142" t="s">
        <v>886</v>
      </c>
      <c r="C176" s="6"/>
      <c r="D176" s="6"/>
      <c r="E176" s="123" t="s">
        <v>700</v>
      </c>
      <c r="F176" s="6"/>
      <c r="G176" s="6"/>
      <c r="H176" s="6"/>
      <c r="I176" s="6"/>
      <c r="J176" s="129">
        <v>0</v>
      </c>
      <c r="K176" s="260">
        <v>8712</v>
      </c>
      <c r="L176" s="260"/>
      <c r="M176" s="260"/>
      <c r="N176" s="129">
        <v>8712</v>
      </c>
      <c r="O176" s="129">
        <v>0</v>
      </c>
      <c r="P176" s="149">
        <f t="shared" si="1"/>
        <v>4021</v>
      </c>
      <c r="R176" s="115"/>
      <c r="S176" s="142" t="s">
        <v>895</v>
      </c>
      <c r="T176" s="115"/>
      <c r="U176" s="115"/>
      <c r="V176" s="123" t="s">
        <v>704</v>
      </c>
      <c r="W176" s="115"/>
      <c r="X176" s="115"/>
      <c r="Y176" s="115"/>
      <c r="Z176" s="115"/>
      <c r="AA176" s="212">
        <v>0</v>
      </c>
      <c r="AB176" s="259">
        <v>0</v>
      </c>
      <c r="AC176" s="259"/>
      <c r="AD176" s="259"/>
      <c r="AE176" s="212">
        <v>0</v>
      </c>
      <c r="AF176" s="212">
        <v>0</v>
      </c>
      <c r="AG176" s="212">
        <v>0</v>
      </c>
    </row>
    <row r="177" spans="1:33" ht="12" customHeight="1">
      <c r="A177" s="6"/>
      <c r="B177" s="142" t="s">
        <v>887</v>
      </c>
      <c r="C177" s="6"/>
      <c r="D177" s="6"/>
      <c r="E177" s="123" t="s">
        <v>701</v>
      </c>
      <c r="F177" s="6"/>
      <c r="G177" s="6"/>
      <c r="H177" s="6"/>
      <c r="I177" s="6"/>
      <c r="J177" s="129">
        <v>-105168.93</v>
      </c>
      <c r="K177" s="260">
        <v>252053.07</v>
      </c>
      <c r="L177" s="260"/>
      <c r="M177" s="260"/>
      <c r="N177" s="129">
        <v>685917</v>
      </c>
      <c r="O177" s="129">
        <v>433863.93</v>
      </c>
      <c r="P177" s="149">
        <f t="shared" si="1"/>
        <v>131634.79</v>
      </c>
      <c r="Q177" s="23"/>
      <c r="R177" s="115"/>
      <c r="S177" s="12" t="s">
        <v>668</v>
      </c>
      <c r="T177" s="115"/>
      <c r="U177" s="12" t="s">
        <v>669</v>
      </c>
      <c r="V177" s="115"/>
      <c r="W177" s="115"/>
      <c r="X177" s="115"/>
      <c r="Y177" s="115"/>
      <c r="Z177" s="115"/>
      <c r="AA177" s="213">
        <v>0</v>
      </c>
      <c r="AB177" s="266">
        <v>0</v>
      </c>
      <c r="AC177" s="266"/>
      <c r="AD177" s="266"/>
      <c r="AE177" s="213">
        <v>0</v>
      </c>
      <c r="AF177" s="213">
        <v>0</v>
      </c>
      <c r="AG177" s="213">
        <v>0</v>
      </c>
    </row>
    <row r="178" spans="1:33" ht="12" customHeight="1">
      <c r="A178" s="6"/>
      <c r="B178" s="12" t="s">
        <v>345</v>
      </c>
      <c r="C178" s="6"/>
      <c r="D178" s="12" t="s">
        <v>346</v>
      </c>
      <c r="E178" s="6"/>
      <c r="F178" s="6"/>
      <c r="G178" s="6"/>
      <c r="H178" s="6"/>
      <c r="I178" s="6"/>
      <c r="J178" s="130">
        <v>787667.47</v>
      </c>
      <c r="K178" s="266">
        <v>4868291.73</v>
      </c>
      <c r="L178" s="266"/>
      <c r="M178" s="266"/>
      <c r="N178" s="130">
        <v>4813280.14</v>
      </c>
      <c r="O178" s="130">
        <v>-55011.59</v>
      </c>
      <c r="P178" s="150">
        <f>SUM(P161:P177,P144:P153)</f>
        <v>2155473.2600000002</v>
      </c>
      <c r="Q178" s="23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</row>
    <row r="179" spans="1:34" ht="12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R179" s="115"/>
      <c r="S179" s="142" t="s">
        <v>1058</v>
      </c>
      <c r="T179" s="115"/>
      <c r="U179" s="115"/>
      <c r="V179" s="123" t="s">
        <v>347</v>
      </c>
      <c r="W179" s="115"/>
      <c r="X179" s="115"/>
      <c r="Y179" s="115"/>
      <c r="Z179" s="115"/>
      <c r="AA179" s="212">
        <v>0</v>
      </c>
      <c r="AB179" s="259">
        <v>0</v>
      </c>
      <c r="AC179" s="259"/>
      <c r="AD179" s="259"/>
      <c r="AE179" s="212">
        <v>0</v>
      </c>
      <c r="AF179" s="212">
        <v>0</v>
      </c>
      <c r="AG179" s="212">
        <v>0</v>
      </c>
      <c r="AH179" s="177"/>
    </row>
    <row r="180" spans="1:33" ht="12" customHeight="1">
      <c r="A180" s="6"/>
      <c r="B180" s="142" t="s">
        <v>893</v>
      </c>
      <c r="C180" s="6"/>
      <c r="D180" s="6"/>
      <c r="E180" s="123" t="s">
        <v>846</v>
      </c>
      <c r="F180" s="6"/>
      <c r="G180" s="6"/>
      <c r="H180" s="6"/>
      <c r="I180" s="6"/>
      <c r="J180" s="129">
        <v>63708</v>
      </c>
      <c r="K180" s="260">
        <v>0</v>
      </c>
      <c r="L180" s="260"/>
      <c r="M180" s="260"/>
      <c r="N180" s="129">
        <v>39890</v>
      </c>
      <c r="O180" s="129">
        <v>39890</v>
      </c>
      <c r="P180" s="149">
        <f>AG185</f>
        <v>0</v>
      </c>
      <c r="R180" s="115"/>
      <c r="S180" s="12" t="s">
        <v>312</v>
      </c>
      <c r="T180" s="115"/>
      <c r="U180" s="12" t="s">
        <v>313</v>
      </c>
      <c r="V180" s="115"/>
      <c r="W180" s="115"/>
      <c r="X180" s="115"/>
      <c r="Y180" s="115"/>
      <c r="Z180" s="115"/>
      <c r="AA180" s="213">
        <v>0</v>
      </c>
      <c r="AB180" s="266">
        <v>0</v>
      </c>
      <c r="AC180" s="266"/>
      <c r="AD180" s="266"/>
      <c r="AE180" s="213">
        <v>0</v>
      </c>
      <c r="AF180" s="213">
        <v>0</v>
      </c>
      <c r="AG180" s="213">
        <v>0</v>
      </c>
    </row>
    <row r="181" spans="1:34" ht="12" customHeight="1">
      <c r="A181" s="6"/>
      <c r="B181" s="142" t="s">
        <v>894</v>
      </c>
      <c r="C181" s="6"/>
      <c r="D181" s="6"/>
      <c r="E181" s="123" t="s">
        <v>702</v>
      </c>
      <c r="F181" s="6"/>
      <c r="G181" s="6"/>
      <c r="H181" s="6"/>
      <c r="I181" s="6"/>
      <c r="J181" s="129">
        <v>0</v>
      </c>
      <c r="K181" s="260">
        <v>76889.8</v>
      </c>
      <c r="L181" s="260"/>
      <c r="M181" s="260"/>
      <c r="N181" s="129">
        <v>298749.3</v>
      </c>
      <c r="O181" s="129">
        <v>221859.5</v>
      </c>
      <c r="P181" s="149">
        <f>AG186</f>
        <v>0</v>
      </c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75"/>
    </row>
    <row r="182" spans="1:34" ht="12" customHeight="1">
      <c r="A182" s="6"/>
      <c r="B182" s="142" t="s">
        <v>966</v>
      </c>
      <c r="C182" s="115"/>
      <c r="D182" s="115"/>
      <c r="E182" s="123" t="s">
        <v>703</v>
      </c>
      <c r="F182" s="115"/>
      <c r="G182" s="115"/>
      <c r="H182" s="115"/>
      <c r="I182" s="115"/>
      <c r="J182" s="159"/>
      <c r="K182" s="159"/>
      <c r="L182" s="159"/>
      <c r="M182" s="159"/>
      <c r="N182" s="159"/>
      <c r="O182" s="159"/>
      <c r="P182" s="159">
        <v>0</v>
      </c>
      <c r="R182" s="115"/>
      <c r="S182" s="142" t="s">
        <v>1059</v>
      </c>
      <c r="T182" s="115"/>
      <c r="U182" s="115"/>
      <c r="V182" s="123" t="s">
        <v>348</v>
      </c>
      <c r="W182" s="115"/>
      <c r="X182" s="115"/>
      <c r="Y182" s="115"/>
      <c r="Z182" s="115"/>
      <c r="AA182" s="212">
        <v>0</v>
      </c>
      <c r="AB182" s="260">
        <v>0</v>
      </c>
      <c r="AC182" s="260"/>
      <c r="AD182" s="260"/>
      <c r="AE182" s="212">
        <v>0</v>
      </c>
      <c r="AF182" s="212">
        <v>0</v>
      </c>
      <c r="AG182" s="212">
        <v>0</v>
      </c>
      <c r="AH182" s="175"/>
    </row>
    <row r="183" spans="1:34" ht="12" customHeight="1">
      <c r="A183" s="6"/>
      <c r="B183" s="142" t="s">
        <v>895</v>
      </c>
      <c r="C183" s="6"/>
      <c r="D183" s="6"/>
      <c r="E183" s="123" t="s">
        <v>704</v>
      </c>
      <c r="F183" s="6"/>
      <c r="G183" s="6"/>
      <c r="H183" s="6"/>
      <c r="I183" s="6"/>
      <c r="J183" s="129">
        <v>0</v>
      </c>
      <c r="K183" s="260">
        <v>0</v>
      </c>
      <c r="L183" s="260"/>
      <c r="M183" s="260"/>
      <c r="N183" s="129">
        <v>0</v>
      </c>
      <c r="O183" s="129">
        <v>0</v>
      </c>
      <c r="P183" s="149">
        <v>0</v>
      </c>
      <c r="Q183" s="23"/>
      <c r="R183" s="115"/>
      <c r="S183" s="142" t="s">
        <v>1060</v>
      </c>
      <c r="T183" s="115"/>
      <c r="U183" s="115"/>
      <c r="V183" s="123" t="s">
        <v>349</v>
      </c>
      <c r="W183" s="115"/>
      <c r="X183" s="115"/>
      <c r="Y183" s="115"/>
      <c r="Z183" s="115"/>
      <c r="AA183" s="212">
        <v>0</v>
      </c>
      <c r="AB183" s="260">
        <v>0</v>
      </c>
      <c r="AC183" s="260"/>
      <c r="AD183" s="260"/>
      <c r="AE183" s="212">
        <v>0</v>
      </c>
      <c r="AF183" s="212">
        <v>0</v>
      </c>
      <c r="AG183" s="212">
        <v>0</v>
      </c>
      <c r="AH183" s="175"/>
    </row>
    <row r="184" spans="1:34" ht="11.25" customHeight="1">
      <c r="A184" s="6"/>
      <c r="B184" s="12" t="s">
        <v>668</v>
      </c>
      <c r="C184" s="6"/>
      <c r="D184" s="12" t="s">
        <v>669</v>
      </c>
      <c r="E184" s="6"/>
      <c r="F184" s="6"/>
      <c r="G184" s="6"/>
      <c r="H184" s="6"/>
      <c r="I184" s="6"/>
      <c r="J184" s="130">
        <v>63708</v>
      </c>
      <c r="K184" s="266">
        <v>76977.55</v>
      </c>
      <c r="L184" s="266"/>
      <c r="M184" s="266"/>
      <c r="N184" s="130">
        <v>353564.6</v>
      </c>
      <c r="O184" s="130">
        <v>276587.05</v>
      </c>
      <c r="P184" s="150">
        <f>SUM(P180:P183)</f>
        <v>0</v>
      </c>
      <c r="R184" s="115"/>
      <c r="S184" s="142" t="s">
        <v>1061</v>
      </c>
      <c r="T184" s="115"/>
      <c r="U184" s="115"/>
      <c r="V184" s="123" t="s">
        <v>350</v>
      </c>
      <c r="W184" s="115"/>
      <c r="X184" s="115"/>
      <c r="Y184" s="115"/>
      <c r="Z184" s="115"/>
      <c r="AA184" s="212">
        <v>0</v>
      </c>
      <c r="AB184" s="260">
        <v>0</v>
      </c>
      <c r="AC184" s="260"/>
      <c r="AD184" s="260"/>
      <c r="AE184" s="212">
        <v>0</v>
      </c>
      <c r="AF184" s="212">
        <v>0</v>
      </c>
      <c r="AG184" s="212">
        <v>0</v>
      </c>
      <c r="AH184" s="177"/>
    </row>
    <row r="185" spans="1:33" ht="12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R185" s="115"/>
      <c r="S185" s="142" t="s">
        <v>1062</v>
      </c>
      <c r="T185" s="115"/>
      <c r="U185" s="115"/>
      <c r="V185" s="123" t="s">
        <v>351</v>
      </c>
      <c r="W185" s="115"/>
      <c r="X185" s="115"/>
      <c r="Y185" s="115"/>
      <c r="Z185" s="115"/>
      <c r="AA185" s="212">
        <v>0</v>
      </c>
      <c r="AB185" s="259">
        <v>0</v>
      </c>
      <c r="AC185" s="259"/>
      <c r="AD185" s="259"/>
      <c r="AE185" s="212">
        <v>0</v>
      </c>
      <c r="AF185" s="212">
        <v>0</v>
      </c>
      <c r="AG185" s="212">
        <v>0</v>
      </c>
    </row>
    <row r="186" spans="1:33" ht="12" customHeight="1">
      <c r="A186" s="6"/>
      <c r="B186" s="122">
        <v>379005</v>
      </c>
      <c r="C186" s="6"/>
      <c r="D186" s="6"/>
      <c r="E186" s="16" t="s">
        <v>347</v>
      </c>
      <c r="F186" s="6"/>
      <c r="G186" s="6"/>
      <c r="H186" s="6"/>
      <c r="I186" s="6"/>
      <c r="J186" s="129">
        <v>0</v>
      </c>
      <c r="K186" s="259">
        <v>0</v>
      </c>
      <c r="L186" s="259"/>
      <c r="M186" s="259"/>
      <c r="N186" s="129">
        <v>0</v>
      </c>
      <c r="O186" s="129">
        <v>0</v>
      </c>
      <c r="P186" s="129">
        <v>0</v>
      </c>
      <c r="R186" s="115"/>
      <c r="S186" s="12" t="s">
        <v>320</v>
      </c>
      <c r="T186" s="115"/>
      <c r="U186" s="12" t="s">
        <v>321</v>
      </c>
      <c r="V186" s="115"/>
      <c r="W186" s="115"/>
      <c r="X186" s="115"/>
      <c r="Y186" s="115"/>
      <c r="Z186" s="115"/>
      <c r="AA186" s="213">
        <v>0</v>
      </c>
      <c r="AB186" s="266">
        <v>0</v>
      </c>
      <c r="AC186" s="266"/>
      <c r="AD186" s="266"/>
      <c r="AE186" s="213">
        <v>0</v>
      </c>
      <c r="AF186" s="213">
        <v>0</v>
      </c>
      <c r="AG186" s="213">
        <v>0</v>
      </c>
    </row>
    <row r="187" spans="1:33" ht="12" customHeight="1">
      <c r="A187" s="6"/>
      <c r="B187" s="12" t="s">
        <v>312</v>
      </c>
      <c r="C187" s="6"/>
      <c r="D187" s="12" t="s">
        <v>313</v>
      </c>
      <c r="E187" s="6"/>
      <c r="F187" s="6"/>
      <c r="G187" s="6"/>
      <c r="H187" s="6"/>
      <c r="I187" s="6"/>
      <c r="J187" s="130">
        <v>0</v>
      </c>
      <c r="K187" s="266">
        <v>0</v>
      </c>
      <c r="L187" s="266"/>
      <c r="M187" s="266"/>
      <c r="N187" s="130">
        <v>0</v>
      </c>
      <c r="O187" s="130">
        <v>0</v>
      </c>
      <c r="P187" s="130">
        <v>0</v>
      </c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</row>
    <row r="188" spans="1:33" ht="12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R188" s="115"/>
      <c r="S188" s="12" t="s">
        <v>322</v>
      </c>
      <c r="T188" s="115"/>
      <c r="U188" s="115"/>
      <c r="V188" s="115"/>
      <c r="W188" s="115"/>
      <c r="X188" s="115"/>
      <c r="Y188" s="115"/>
      <c r="Z188" s="17"/>
      <c r="AA188" s="213">
        <v>1984013.99</v>
      </c>
      <c r="AB188" s="266">
        <v>4294548.95</v>
      </c>
      <c r="AC188" s="266"/>
      <c r="AD188" s="266"/>
      <c r="AE188" s="213">
        <v>4466008.22</v>
      </c>
      <c r="AF188" s="213">
        <v>171459.27</v>
      </c>
      <c r="AG188" s="213">
        <v>2155473.26</v>
      </c>
    </row>
    <row r="189" spans="1:33" ht="12" customHeight="1">
      <c r="A189" s="6"/>
      <c r="B189" s="122">
        <v>383100</v>
      </c>
      <c r="C189" s="6"/>
      <c r="D189" s="6"/>
      <c r="E189" s="16" t="s">
        <v>348</v>
      </c>
      <c r="F189" s="6"/>
      <c r="G189" s="6"/>
      <c r="H189" s="6"/>
      <c r="I189" s="6"/>
      <c r="J189" s="129">
        <v>0</v>
      </c>
      <c r="K189" s="260">
        <v>0</v>
      </c>
      <c r="L189" s="260"/>
      <c r="M189" s="260"/>
      <c r="N189" s="129">
        <v>0</v>
      </c>
      <c r="O189" s="129">
        <v>0</v>
      </c>
      <c r="P189" s="129">
        <v>0</v>
      </c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</row>
    <row r="190" spans="1:33" ht="12" customHeight="1">
      <c r="A190" s="6"/>
      <c r="B190" s="122">
        <v>383200</v>
      </c>
      <c r="C190" s="6"/>
      <c r="D190" s="6"/>
      <c r="E190" s="16" t="s">
        <v>349</v>
      </c>
      <c r="F190" s="6"/>
      <c r="G190" s="6"/>
      <c r="H190" s="6"/>
      <c r="I190" s="6"/>
      <c r="J190" s="129">
        <v>0</v>
      </c>
      <c r="K190" s="260">
        <v>0</v>
      </c>
      <c r="L190" s="260"/>
      <c r="M190" s="260"/>
      <c r="N190" s="129">
        <v>0</v>
      </c>
      <c r="O190" s="129">
        <v>0</v>
      </c>
      <c r="P190" s="129">
        <v>0</v>
      </c>
      <c r="R190" s="115"/>
      <c r="S190" s="142" t="s">
        <v>1063</v>
      </c>
      <c r="T190" s="115"/>
      <c r="U190" s="115"/>
      <c r="V190" s="123" t="s">
        <v>352</v>
      </c>
      <c r="W190" s="115"/>
      <c r="X190" s="115"/>
      <c r="Y190" s="115"/>
      <c r="Z190" s="115"/>
      <c r="AA190" s="212">
        <v>689233.55</v>
      </c>
      <c r="AB190" s="259">
        <v>689233.55</v>
      </c>
      <c r="AC190" s="259"/>
      <c r="AD190" s="259"/>
      <c r="AE190" s="212">
        <v>0</v>
      </c>
      <c r="AF190" s="212">
        <v>-689233.55</v>
      </c>
      <c r="AG190" s="212">
        <v>0</v>
      </c>
    </row>
    <row r="191" spans="1:33" ht="12" customHeight="1">
      <c r="A191" s="6"/>
      <c r="B191" s="122">
        <v>383400</v>
      </c>
      <c r="C191" s="6"/>
      <c r="D191" s="6"/>
      <c r="E191" s="16" t="s">
        <v>350</v>
      </c>
      <c r="F191" s="6"/>
      <c r="G191" s="6"/>
      <c r="H191" s="6"/>
      <c r="I191" s="6"/>
      <c r="J191" s="129">
        <v>0</v>
      </c>
      <c r="K191" s="260">
        <v>0</v>
      </c>
      <c r="L191" s="260"/>
      <c r="M191" s="260"/>
      <c r="N191" s="129">
        <v>0</v>
      </c>
      <c r="O191" s="129">
        <v>0</v>
      </c>
      <c r="P191" s="129">
        <v>0</v>
      </c>
      <c r="R191" s="115"/>
      <c r="S191" s="12" t="s">
        <v>353</v>
      </c>
      <c r="T191" s="115"/>
      <c r="U191" s="12" t="s">
        <v>354</v>
      </c>
      <c r="V191" s="115"/>
      <c r="W191" s="115"/>
      <c r="X191" s="115"/>
      <c r="Y191" s="115"/>
      <c r="Z191" s="115"/>
      <c r="AA191" s="213">
        <v>689233.55</v>
      </c>
      <c r="AB191" s="266">
        <v>689233.55</v>
      </c>
      <c r="AC191" s="266"/>
      <c r="AD191" s="266"/>
      <c r="AE191" s="213">
        <v>0</v>
      </c>
      <c r="AF191" s="213">
        <v>-689233.55</v>
      </c>
      <c r="AG191" s="213">
        <v>0</v>
      </c>
    </row>
    <row r="192" spans="1:33" ht="12" customHeight="1">
      <c r="A192" s="6"/>
      <c r="B192" s="122">
        <v>389300</v>
      </c>
      <c r="C192" s="6"/>
      <c r="D192" s="6"/>
      <c r="E192" s="16" t="s">
        <v>351</v>
      </c>
      <c r="F192" s="6"/>
      <c r="G192" s="6"/>
      <c r="H192" s="6"/>
      <c r="I192" s="6"/>
      <c r="J192" s="129">
        <v>0</v>
      </c>
      <c r="K192" s="259">
        <v>0</v>
      </c>
      <c r="L192" s="259"/>
      <c r="M192" s="259"/>
      <c r="N192" s="129">
        <v>0</v>
      </c>
      <c r="O192" s="129">
        <v>0</v>
      </c>
      <c r="P192" s="129">
        <v>0</v>
      </c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</row>
    <row r="193" spans="1:33" ht="12" customHeight="1">
      <c r="A193" s="6"/>
      <c r="B193" s="12" t="s">
        <v>320</v>
      </c>
      <c r="C193" s="6"/>
      <c r="D193" s="12" t="s">
        <v>321</v>
      </c>
      <c r="E193" s="6"/>
      <c r="F193" s="6"/>
      <c r="G193" s="6"/>
      <c r="H193" s="6"/>
      <c r="I193" s="6"/>
      <c r="J193" s="130">
        <v>0</v>
      </c>
      <c r="K193" s="266">
        <v>0</v>
      </c>
      <c r="L193" s="266"/>
      <c r="M193" s="266"/>
      <c r="N193" s="130">
        <v>0</v>
      </c>
      <c r="O193" s="130">
        <v>0</v>
      </c>
      <c r="P193" s="130">
        <v>0</v>
      </c>
      <c r="R193" s="115"/>
      <c r="S193" s="142" t="s">
        <v>1071</v>
      </c>
      <c r="T193" s="115"/>
      <c r="U193" s="115"/>
      <c r="V193" s="123" t="s">
        <v>1072</v>
      </c>
      <c r="W193" s="115"/>
      <c r="X193" s="115"/>
      <c r="Y193" s="115"/>
      <c r="Z193" s="115"/>
      <c r="AA193" s="212">
        <v>0</v>
      </c>
      <c r="AB193" s="260">
        <v>0</v>
      </c>
      <c r="AC193" s="260"/>
      <c r="AD193" s="260"/>
      <c r="AE193" s="212">
        <v>70000</v>
      </c>
      <c r="AF193" s="212">
        <v>70000</v>
      </c>
      <c r="AG193" s="212">
        <v>70000</v>
      </c>
    </row>
    <row r="194" spans="1:33" ht="12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23"/>
      <c r="R194" s="115"/>
      <c r="S194" s="142" t="s">
        <v>1064</v>
      </c>
      <c r="T194" s="115"/>
      <c r="U194" s="115"/>
      <c r="V194" s="123" t="s">
        <v>705</v>
      </c>
      <c r="W194" s="115"/>
      <c r="X194" s="115"/>
      <c r="Y194" s="115"/>
      <c r="Z194" s="115"/>
      <c r="AA194" s="212">
        <v>1560000</v>
      </c>
      <c r="AB194" s="260">
        <v>0</v>
      </c>
      <c r="AC194" s="260"/>
      <c r="AD194" s="260"/>
      <c r="AE194" s="212">
        <v>0</v>
      </c>
      <c r="AF194" s="212">
        <v>0</v>
      </c>
      <c r="AG194" s="212">
        <v>1560000</v>
      </c>
    </row>
    <row r="195" spans="1:33" ht="12" customHeight="1">
      <c r="A195" s="6"/>
      <c r="B195" s="12" t="s">
        <v>322</v>
      </c>
      <c r="C195" s="6"/>
      <c r="D195" s="6"/>
      <c r="E195" s="6"/>
      <c r="F195" s="6"/>
      <c r="G195" s="6"/>
      <c r="H195" s="6"/>
      <c r="I195" s="17"/>
      <c r="J195" s="130">
        <v>851375.47</v>
      </c>
      <c r="K195" s="266">
        <v>4945269.28</v>
      </c>
      <c r="L195" s="266"/>
      <c r="M195" s="266"/>
      <c r="N195" s="130">
        <v>5166844.74</v>
      </c>
      <c r="O195" s="130">
        <v>221575.46</v>
      </c>
      <c r="P195" s="150">
        <f>P178+P184+P187+P193</f>
        <v>2155473.2600000002</v>
      </c>
      <c r="R195" s="115"/>
      <c r="S195" s="142" t="s">
        <v>1065</v>
      </c>
      <c r="T195" s="115"/>
      <c r="U195" s="115"/>
      <c r="V195" s="123" t="s">
        <v>706</v>
      </c>
      <c r="W195" s="115"/>
      <c r="X195" s="115"/>
      <c r="Y195" s="115"/>
      <c r="Z195" s="115"/>
      <c r="AA195" s="212">
        <v>1560000</v>
      </c>
      <c r="AB195" s="260">
        <v>0</v>
      </c>
      <c r="AC195" s="260"/>
      <c r="AD195" s="260"/>
      <c r="AE195" s="212">
        <v>0</v>
      </c>
      <c r="AF195" s="212">
        <v>0</v>
      </c>
      <c r="AG195" s="212">
        <v>1560000</v>
      </c>
    </row>
    <row r="196" spans="1:33" ht="12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R196" s="115"/>
      <c r="S196" s="142" t="s">
        <v>1066</v>
      </c>
      <c r="T196" s="115"/>
      <c r="U196" s="115"/>
      <c r="V196" s="123" t="s">
        <v>707</v>
      </c>
      <c r="W196" s="115"/>
      <c r="X196" s="115"/>
      <c r="Y196" s="115"/>
      <c r="Z196" s="115"/>
      <c r="AA196" s="212">
        <v>1622500</v>
      </c>
      <c r="AB196" s="260">
        <v>0</v>
      </c>
      <c r="AC196" s="260"/>
      <c r="AD196" s="260"/>
      <c r="AE196" s="212">
        <v>0</v>
      </c>
      <c r="AF196" s="212">
        <v>0</v>
      </c>
      <c r="AG196" s="212">
        <v>1622500</v>
      </c>
    </row>
    <row r="197" spans="1:33" ht="12" customHeight="1">
      <c r="A197" s="6"/>
      <c r="B197" s="122">
        <v>431000</v>
      </c>
      <c r="C197" s="6"/>
      <c r="D197" s="6"/>
      <c r="E197" s="16" t="s">
        <v>352</v>
      </c>
      <c r="F197" s="6"/>
      <c r="G197" s="6"/>
      <c r="H197" s="6"/>
      <c r="I197" s="6"/>
      <c r="J197" s="129">
        <v>-1020591.65</v>
      </c>
      <c r="K197" s="259">
        <v>0</v>
      </c>
      <c r="L197" s="259"/>
      <c r="M197" s="259"/>
      <c r="N197" s="129">
        <v>1020591.65</v>
      </c>
      <c r="O197" s="129">
        <v>1020591.65</v>
      </c>
      <c r="P197" s="149">
        <f>AG189</f>
        <v>0</v>
      </c>
      <c r="R197" s="115"/>
      <c r="S197" s="142" t="s">
        <v>1067</v>
      </c>
      <c r="T197" s="115"/>
      <c r="U197" s="115"/>
      <c r="V197" s="123" t="s">
        <v>708</v>
      </c>
      <c r="W197" s="115"/>
      <c r="X197" s="115"/>
      <c r="Y197" s="115"/>
      <c r="Z197" s="115"/>
      <c r="AA197" s="212">
        <v>257500</v>
      </c>
      <c r="AB197" s="260">
        <v>0</v>
      </c>
      <c r="AC197" s="260"/>
      <c r="AD197" s="260"/>
      <c r="AE197" s="212">
        <v>0</v>
      </c>
      <c r="AF197" s="212">
        <v>0</v>
      </c>
      <c r="AG197" s="212">
        <v>257500</v>
      </c>
    </row>
    <row r="198" spans="1:33" ht="12" customHeight="1">
      <c r="A198" s="6"/>
      <c r="B198" s="12" t="s">
        <v>353</v>
      </c>
      <c r="C198" s="6"/>
      <c r="D198" s="12" t="s">
        <v>354</v>
      </c>
      <c r="E198" s="6"/>
      <c r="F198" s="6"/>
      <c r="G198" s="6"/>
      <c r="H198" s="6"/>
      <c r="I198" s="6"/>
      <c r="J198" s="130">
        <v>-1020591.65</v>
      </c>
      <c r="K198" s="266">
        <v>0</v>
      </c>
      <c r="L198" s="266"/>
      <c r="M198" s="266"/>
      <c r="N198" s="130">
        <v>1020591.65</v>
      </c>
      <c r="O198" s="130">
        <v>1020591.65</v>
      </c>
      <c r="P198" s="150">
        <f>P197</f>
        <v>0</v>
      </c>
      <c r="R198" s="115"/>
      <c r="S198" s="142" t="s">
        <v>1068</v>
      </c>
      <c r="T198" s="115"/>
      <c r="U198" s="115"/>
      <c r="V198" s="123" t="s">
        <v>709</v>
      </c>
      <c r="W198" s="115"/>
      <c r="X198" s="115"/>
      <c r="Y198" s="115"/>
      <c r="Z198" s="115"/>
      <c r="AA198" s="212">
        <v>5866383.63</v>
      </c>
      <c r="AB198" s="260">
        <v>0</v>
      </c>
      <c r="AC198" s="260"/>
      <c r="AD198" s="260"/>
      <c r="AE198" s="212">
        <v>689233.55</v>
      </c>
      <c r="AF198" s="212">
        <v>689233.55</v>
      </c>
      <c r="AG198" s="212">
        <v>6555617.18</v>
      </c>
    </row>
    <row r="199" spans="1:33" ht="12" customHeight="1">
      <c r="A199" s="11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R199" s="115"/>
      <c r="S199" s="142" t="s">
        <v>1069</v>
      </c>
      <c r="T199" s="115"/>
      <c r="U199" s="115"/>
      <c r="V199" s="123" t="s">
        <v>851</v>
      </c>
      <c r="W199" s="115"/>
      <c r="X199" s="115"/>
      <c r="Y199" s="115"/>
      <c r="Z199" s="115"/>
      <c r="AA199" s="212">
        <v>-1663235.34</v>
      </c>
      <c r="AB199" s="259">
        <v>0</v>
      </c>
      <c r="AC199" s="259"/>
      <c r="AD199" s="259"/>
      <c r="AE199" s="212">
        <v>0</v>
      </c>
      <c r="AF199" s="212">
        <v>0</v>
      </c>
      <c r="AG199" s="212">
        <v>-1663235.34</v>
      </c>
    </row>
    <row r="200" spans="1:33" ht="12.75">
      <c r="A200" s="6"/>
      <c r="B200" s="123">
        <v>454300</v>
      </c>
      <c r="C200" s="115"/>
      <c r="D200" s="115"/>
      <c r="E200" s="115" t="s">
        <v>1072</v>
      </c>
      <c r="F200" s="115"/>
      <c r="G200" s="115"/>
      <c r="H200" s="115"/>
      <c r="I200" s="115"/>
      <c r="J200" s="175">
        <v>0</v>
      </c>
      <c r="K200" s="115">
        <v>0</v>
      </c>
      <c r="L200" s="115"/>
      <c r="M200" s="115"/>
      <c r="N200" s="115">
        <v>108850</v>
      </c>
      <c r="O200" s="175">
        <v>108850</v>
      </c>
      <c r="P200" s="175">
        <f aca="true" t="shared" si="2" ref="P200:P206">AG193</f>
        <v>70000</v>
      </c>
      <c r="R200" s="115"/>
      <c r="S200" s="12" t="s">
        <v>710</v>
      </c>
      <c r="T200" s="115"/>
      <c r="U200" s="12" t="s">
        <v>711</v>
      </c>
      <c r="V200" s="115"/>
      <c r="W200" s="115"/>
      <c r="X200" s="115"/>
      <c r="Y200" s="115"/>
      <c r="Z200" s="115"/>
      <c r="AA200" s="213">
        <v>9203148.29</v>
      </c>
      <c r="AB200" s="266">
        <v>0</v>
      </c>
      <c r="AC200" s="266"/>
      <c r="AD200" s="266"/>
      <c r="AE200" s="213">
        <v>759233.55</v>
      </c>
      <c r="AF200" s="213">
        <v>759233.55</v>
      </c>
      <c r="AG200" s="213">
        <v>9962381.84</v>
      </c>
    </row>
    <row r="201" spans="1:33" ht="12" customHeight="1">
      <c r="A201" s="6"/>
      <c r="B201" s="122">
        <v>456111</v>
      </c>
      <c r="C201" s="6"/>
      <c r="D201" s="6"/>
      <c r="E201" s="16" t="s">
        <v>705</v>
      </c>
      <c r="F201" s="6"/>
      <c r="G201" s="6"/>
      <c r="H201" s="6"/>
      <c r="I201" s="6"/>
      <c r="J201" s="129">
        <v>1560000</v>
      </c>
      <c r="K201" s="260">
        <v>0</v>
      </c>
      <c r="L201" s="260"/>
      <c r="M201" s="260"/>
      <c r="N201" s="129">
        <v>0</v>
      </c>
      <c r="O201" s="129">
        <v>0</v>
      </c>
      <c r="P201" s="149">
        <f t="shared" si="2"/>
        <v>1560000</v>
      </c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</row>
    <row r="202" spans="1:33" ht="12" customHeight="1">
      <c r="A202" s="6"/>
      <c r="B202" s="122">
        <v>456112</v>
      </c>
      <c r="C202" s="6"/>
      <c r="D202" s="6"/>
      <c r="E202" s="16" t="s">
        <v>706</v>
      </c>
      <c r="F202" s="6"/>
      <c r="G202" s="6"/>
      <c r="H202" s="6"/>
      <c r="I202" s="6"/>
      <c r="J202" s="129">
        <v>1560000</v>
      </c>
      <c r="K202" s="260">
        <v>0</v>
      </c>
      <c r="L202" s="260"/>
      <c r="M202" s="260"/>
      <c r="N202" s="129">
        <v>0</v>
      </c>
      <c r="O202" s="129">
        <v>0</v>
      </c>
      <c r="P202" s="149">
        <f t="shared" si="2"/>
        <v>1560000</v>
      </c>
      <c r="R202" s="115"/>
      <c r="S202" s="12" t="s">
        <v>355</v>
      </c>
      <c r="T202" s="115"/>
      <c r="U202" s="115"/>
      <c r="V202" s="115"/>
      <c r="W202" s="115"/>
      <c r="X202" s="115"/>
      <c r="Y202" s="115"/>
      <c r="Z202" s="17"/>
      <c r="AA202" s="213">
        <v>9892381.84</v>
      </c>
      <c r="AB202" s="266">
        <v>689233.55</v>
      </c>
      <c r="AC202" s="266"/>
      <c r="AD202" s="266"/>
      <c r="AE202" s="213">
        <v>759233.55</v>
      </c>
      <c r="AF202" s="213">
        <v>70000</v>
      </c>
      <c r="AG202" s="213">
        <v>9962381.84</v>
      </c>
    </row>
    <row r="203" spans="1:33" ht="12" customHeight="1">
      <c r="A203" s="6"/>
      <c r="B203" s="122">
        <v>456114</v>
      </c>
      <c r="C203" s="6"/>
      <c r="D203" s="6"/>
      <c r="E203" s="16" t="s">
        <v>707</v>
      </c>
      <c r="F203" s="6"/>
      <c r="G203" s="6"/>
      <c r="H203" s="6"/>
      <c r="I203" s="6"/>
      <c r="J203" s="129">
        <v>1622500</v>
      </c>
      <c r="K203" s="260">
        <v>0</v>
      </c>
      <c r="L203" s="260"/>
      <c r="M203" s="260"/>
      <c r="N203" s="129">
        <v>0</v>
      </c>
      <c r="O203" s="129">
        <v>0</v>
      </c>
      <c r="P203" s="149">
        <f t="shared" si="2"/>
        <v>1622500</v>
      </c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</row>
    <row r="204" spans="1:33" ht="12" customHeight="1" thickBot="1">
      <c r="A204" s="6"/>
      <c r="B204" s="122">
        <v>456115</v>
      </c>
      <c r="C204" s="6"/>
      <c r="D204" s="6"/>
      <c r="E204" s="16" t="s">
        <v>708</v>
      </c>
      <c r="F204" s="6"/>
      <c r="G204" s="6"/>
      <c r="H204" s="6"/>
      <c r="I204" s="6"/>
      <c r="J204" s="129">
        <v>257500</v>
      </c>
      <c r="K204" s="260">
        <v>0</v>
      </c>
      <c r="L204" s="260"/>
      <c r="M204" s="260"/>
      <c r="N204" s="129">
        <v>0</v>
      </c>
      <c r="O204" s="129">
        <v>0</v>
      </c>
      <c r="P204" s="149">
        <f t="shared" si="2"/>
        <v>257500</v>
      </c>
      <c r="R204" s="115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1:33" ht="12" customHeight="1" thickBot="1">
      <c r="A205" s="6"/>
      <c r="B205" s="122">
        <v>457100</v>
      </c>
      <c r="C205" s="6"/>
      <c r="D205" s="6"/>
      <c r="E205" s="16" t="s">
        <v>709</v>
      </c>
      <c r="F205" s="6"/>
      <c r="G205" s="6"/>
      <c r="H205" s="6"/>
      <c r="I205" s="6"/>
      <c r="J205" s="129">
        <v>4952827.53</v>
      </c>
      <c r="K205" s="260">
        <v>0</v>
      </c>
      <c r="L205" s="260"/>
      <c r="M205" s="260"/>
      <c r="N205" s="129">
        <v>0</v>
      </c>
      <c r="O205" s="129">
        <v>0</v>
      </c>
      <c r="P205" s="149">
        <f t="shared" si="2"/>
        <v>6555617.18</v>
      </c>
      <c r="R205" s="115"/>
      <c r="S205" s="19"/>
      <c r="T205" s="19"/>
      <c r="U205" s="20" t="s">
        <v>356</v>
      </c>
      <c r="V205" s="19"/>
      <c r="W205" s="19"/>
      <c r="X205" s="19"/>
      <c r="Y205" s="19"/>
      <c r="Z205" s="19"/>
      <c r="AA205" s="215">
        <v>12800164.59</v>
      </c>
      <c r="AB205" s="262">
        <v>5072712.12</v>
      </c>
      <c r="AC205" s="262"/>
      <c r="AD205" s="262"/>
      <c r="AE205" s="215">
        <v>5225241.77</v>
      </c>
      <c r="AF205" s="215">
        <v>152529.65</v>
      </c>
      <c r="AG205" s="215">
        <v>12952694.24</v>
      </c>
    </row>
    <row r="206" spans="1:34" ht="12" customHeight="1">
      <c r="A206" s="6"/>
      <c r="B206" s="122">
        <v>457200</v>
      </c>
      <c r="C206" s="6"/>
      <c r="D206" s="6"/>
      <c r="E206" s="16" t="s">
        <v>851</v>
      </c>
      <c r="F206" s="6"/>
      <c r="G206" s="6"/>
      <c r="H206" s="6"/>
      <c r="I206" s="6"/>
      <c r="J206" s="129">
        <v>0</v>
      </c>
      <c r="K206" s="259">
        <v>1020591.65</v>
      </c>
      <c r="L206" s="259"/>
      <c r="M206" s="259"/>
      <c r="N206" s="129">
        <v>0</v>
      </c>
      <c r="O206" s="129">
        <v>-1020591.65</v>
      </c>
      <c r="P206" s="149">
        <f t="shared" si="2"/>
        <v>-1663235.34</v>
      </c>
      <c r="Q206" s="23"/>
      <c r="R206" s="115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62"/>
    </row>
    <row r="207" spans="1:34" ht="12" customHeight="1">
      <c r="A207" s="6"/>
      <c r="B207" s="12" t="s">
        <v>710</v>
      </c>
      <c r="C207" s="6"/>
      <c r="D207" s="12" t="s">
        <v>711</v>
      </c>
      <c r="E207" s="6"/>
      <c r="F207" s="6"/>
      <c r="G207" s="6"/>
      <c r="H207" s="6"/>
      <c r="I207" s="6"/>
      <c r="J207" s="130">
        <v>9952827.53</v>
      </c>
      <c r="K207" s="266">
        <v>1020591.65</v>
      </c>
      <c r="L207" s="266"/>
      <c r="M207" s="266"/>
      <c r="N207" s="130">
        <v>0</v>
      </c>
      <c r="O207" s="130">
        <v>-1020591.65</v>
      </c>
      <c r="P207" s="150">
        <f>SUM(P200:P206)</f>
        <v>9962381.84</v>
      </c>
      <c r="Q207" s="23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2" t="s">
        <v>357</v>
      </c>
      <c r="AC207" s="115"/>
      <c r="AD207" s="115"/>
      <c r="AE207" s="115"/>
      <c r="AF207" s="21">
        <v>651710.69</v>
      </c>
      <c r="AG207" s="115"/>
      <c r="AH207" s="162"/>
    </row>
    <row r="208" spans="1:34" ht="12" customHeight="1" thickBo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23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22" t="s">
        <v>358</v>
      </c>
      <c r="AC208" s="13"/>
      <c r="AD208" s="13"/>
      <c r="AE208" s="13"/>
      <c r="AF208" s="13"/>
      <c r="AG208" s="217">
        <v>1532472.14</v>
      </c>
      <c r="AH208" s="162"/>
    </row>
    <row r="209" spans="1:34" ht="16.5" customHeight="1">
      <c r="A209" s="6"/>
      <c r="B209" s="12" t="s">
        <v>355</v>
      </c>
      <c r="C209" s="6"/>
      <c r="D209" s="6"/>
      <c r="E209" s="6"/>
      <c r="F209" s="6"/>
      <c r="G209" s="6"/>
      <c r="H209" s="6"/>
      <c r="I209" s="17"/>
      <c r="J209" s="130">
        <v>8932235.88</v>
      </c>
      <c r="K209" s="266">
        <v>1020591.65</v>
      </c>
      <c r="L209" s="266"/>
      <c r="M209" s="266"/>
      <c r="N209" s="130">
        <v>1020591.65</v>
      </c>
      <c r="O209" s="130">
        <v>0</v>
      </c>
      <c r="P209" s="150">
        <f>P207+P198</f>
        <v>9962381.84</v>
      </c>
      <c r="Q209" s="23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4"/>
      <c r="AC209" s="14"/>
      <c r="AD209" s="14"/>
      <c r="AE209" s="14"/>
      <c r="AF209" s="14"/>
      <c r="AG209" s="14"/>
      <c r="AH209" s="162"/>
    </row>
    <row r="210" spans="1:33" ht="12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R210" s="115"/>
      <c r="S210" s="123" t="s">
        <v>1126</v>
      </c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</row>
    <row r="211" spans="1:34" ht="16.5" customHeight="1" thickBot="1">
      <c r="A211" s="6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23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58"/>
    </row>
    <row r="212" spans="1:34" ht="16.5" customHeight="1" thickBot="1">
      <c r="A212" s="6"/>
      <c r="B212" s="19"/>
      <c r="C212" s="19"/>
      <c r="D212" s="20" t="s">
        <v>356</v>
      </c>
      <c r="E212" s="19"/>
      <c r="F212" s="19"/>
      <c r="G212" s="19"/>
      <c r="H212" s="19"/>
      <c r="I212" s="19"/>
      <c r="J212" s="132">
        <f>AB212</f>
        <v>0</v>
      </c>
      <c r="K212" s="262">
        <f>AE212</f>
        <v>0</v>
      </c>
      <c r="L212" s="262"/>
      <c r="M212" s="262"/>
      <c r="N212" s="132">
        <v>6201063.01</v>
      </c>
      <c r="O212" s="132">
        <f>AF212</f>
        <v>0</v>
      </c>
      <c r="P212" s="147">
        <f>P209+P195+P123</f>
        <v>12952694.24</v>
      </c>
      <c r="Q212" s="23">
        <f>P212-AG205</f>
        <v>0</v>
      </c>
      <c r="R212" s="162"/>
      <c r="S212" s="162"/>
      <c r="T212" s="162"/>
      <c r="U212" s="211"/>
      <c r="V212" s="162"/>
      <c r="W212" s="162"/>
      <c r="X212" s="162"/>
      <c r="Y212" s="162"/>
      <c r="Z212" s="162"/>
      <c r="AA212" s="188"/>
      <c r="AB212" s="268"/>
      <c r="AC212" s="268"/>
      <c r="AD212" s="268"/>
      <c r="AE212" s="188"/>
      <c r="AF212" s="188"/>
      <c r="AG212" s="188"/>
      <c r="AH212" s="158"/>
    </row>
    <row r="213" spans="1:34" ht="12.75">
      <c r="A213" s="6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58"/>
    </row>
    <row r="214" spans="1:3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12" t="s">
        <v>357</v>
      </c>
      <c r="L214" s="6"/>
      <c r="M214" s="6"/>
      <c r="N214" s="6"/>
      <c r="O214" s="21">
        <f>AF206</f>
        <v>0</v>
      </c>
      <c r="P214" s="6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211"/>
      <c r="AC214" s="162"/>
      <c r="AD214" s="162"/>
      <c r="AE214" s="162"/>
      <c r="AF214" s="188"/>
      <c r="AG214" s="162"/>
      <c r="AH214" s="158"/>
    </row>
    <row r="215" spans="1:34" ht="13.5" thickBo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22" t="s">
        <v>358</v>
      </c>
      <c r="L215" s="13"/>
      <c r="M215" s="13"/>
      <c r="N215" s="13"/>
      <c r="O215" s="13"/>
      <c r="P215" s="151">
        <f>AG207</f>
        <v>0</v>
      </c>
      <c r="Q215" s="23">
        <f>P215-PL!O114</f>
        <v>-1532472.1400000006</v>
      </c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211"/>
      <c r="AC215" s="162"/>
      <c r="AD215" s="162"/>
      <c r="AE215" s="162"/>
      <c r="AF215" s="162"/>
      <c r="AG215" s="188"/>
      <c r="AH215" s="158"/>
    </row>
    <row r="216" spans="2:34" ht="12.75">
      <c r="B216" s="6"/>
      <c r="C216" s="6"/>
      <c r="D216" s="6"/>
      <c r="E216" s="6"/>
      <c r="F216" s="6"/>
      <c r="G216" s="6"/>
      <c r="H216" s="6"/>
      <c r="I216" s="6"/>
      <c r="J216" s="6"/>
      <c r="K216" s="14"/>
      <c r="L216" s="14"/>
      <c r="M216" s="14"/>
      <c r="N216" s="14"/>
      <c r="O216" s="14"/>
      <c r="P216" s="14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58"/>
    </row>
    <row r="217" spans="2:34" ht="12.75">
      <c r="B217" s="1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R217" s="158"/>
      <c r="S217" s="189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</row>
    <row r="218" spans="2:3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R218" s="158"/>
      <c r="S218" s="162"/>
      <c r="T218" s="162"/>
      <c r="U218" s="162"/>
      <c r="V218" s="162"/>
      <c r="W218" s="162"/>
      <c r="X218" s="162"/>
      <c r="Y218" s="162"/>
      <c r="Z218" s="162"/>
      <c r="AA218" s="162"/>
      <c r="AB218" s="211"/>
      <c r="AC218" s="162"/>
      <c r="AD218" s="162"/>
      <c r="AE218" s="162"/>
      <c r="AF218" s="188"/>
      <c r="AG218" s="162"/>
      <c r="AH218" s="162"/>
    </row>
    <row r="219" spans="18:34" ht="12.75">
      <c r="R219" s="158"/>
      <c r="S219" s="162"/>
      <c r="T219" s="162"/>
      <c r="U219" s="162"/>
      <c r="V219" s="162"/>
      <c r="W219" s="162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62"/>
    </row>
    <row r="220" spans="18:34" ht="12.75">
      <c r="R220" s="158"/>
      <c r="S220" s="162"/>
      <c r="T220" s="162"/>
      <c r="U220" s="162"/>
      <c r="V220" s="162"/>
      <c r="W220" s="162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62"/>
    </row>
    <row r="221" spans="18:34" ht="12.75">
      <c r="R221" s="158"/>
      <c r="S221" s="189"/>
      <c r="T221" s="162"/>
      <c r="U221" s="162"/>
      <c r="V221" s="162"/>
      <c r="W221" s="162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</row>
    <row r="222" spans="18:34" ht="12.75">
      <c r="R222" s="158"/>
      <c r="S222" s="162"/>
      <c r="T222" s="162"/>
      <c r="U222" s="162"/>
      <c r="V222" s="162"/>
      <c r="W222" s="162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</row>
    <row r="223" spans="18:34" ht="12.75">
      <c r="R223" s="158"/>
      <c r="S223" s="162"/>
      <c r="T223" s="162"/>
      <c r="U223" s="162"/>
      <c r="V223" s="162"/>
      <c r="W223" s="162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</row>
    <row r="224" spans="19:23" ht="12.75">
      <c r="S224" s="162"/>
      <c r="T224" s="162"/>
      <c r="U224" s="162"/>
      <c r="V224" s="162"/>
      <c r="W224" s="162"/>
    </row>
    <row r="225" spans="19:23" ht="12.75">
      <c r="S225" s="162"/>
      <c r="T225" s="162"/>
      <c r="U225" s="162"/>
      <c r="V225" s="162"/>
      <c r="W225" s="162"/>
    </row>
    <row r="226" spans="19:33" ht="12.75">
      <c r="S226" s="189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</row>
    <row r="227" spans="19:33" ht="12.75"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</row>
    <row r="228" spans="19:33" ht="12.75"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</row>
    <row r="229" spans="19:33" ht="12.75"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</row>
    <row r="230" spans="19:33" ht="12.75"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</row>
    <row r="231" spans="19:33" ht="12.75"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</row>
    <row r="232" spans="19:33" ht="12.75"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</row>
    <row r="233" spans="19:33" ht="12.75"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</row>
    <row r="234" spans="19:33" ht="12.75"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</row>
    <row r="235" spans="19:33" ht="12.75"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</row>
    <row r="236" spans="19:33" ht="12.75"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</row>
    <row r="237" spans="19:33" ht="12.75"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</row>
    <row r="238" spans="19:33" ht="12.75"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</row>
    <row r="239" spans="19:33" ht="12.75"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</row>
    <row r="240" spans="19:33" ht="12.75"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</row>
    <row r="241" spans="19:33" ht="12.75"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</row>
    <row r="242" spans="19:33" ht="12.75"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</row>
    <row r="243" spans="19:33" ht="12.75"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</row>
  </sheetData>
  <sheetProtection/>
  <mergeCells count="314">
    <mergeCell ref="AB200:AD200"/>
    <mergeCell ref="AB202:AD202"/>
    <mergeCell ref="AB205:AD205"/>
    <mergeCell ref="AF152:AG152"/>
    <mergeCell ref="AB154:AD154"/>
    <mergeCell ref="AB172:AD172"/>
    <mergeCell ref="AB177:AD177"/>
    <mergeCell ref="AB180:AD180"/>
    <mergeCell ref="AB186:AD186"/>
    <mergeCell ref="AB194:AD194"/>
    <mergeCell ref="AB111:AD111"/>
    <mergeCell ref="AB114:AD114"/>
    <mergeCell ref="AB119:AD119"/>
    <mergeCell ref="AB121:AD121"/>
    <mergeCell ref="AB130:AD130"/>
    <mergeCell ref="AB138:AD138"/>
    <mergeCell ref="AB126:AD126"/>
    <mergeCell ref="AB135:AD135"/>
    <mergeCell ref="AB85:AD85"/>
    <mergeCell ref="AB93:AD93"/>
    <mergeCell ref="AB95:AD95"/>
    <mergeCell ref="AB102:AD102"/>
    <mergeCell ref="AB105:AD105"/>
    <mergeCell ref="AB109:AD109"/>
    <mergeCell ref="AB88:AD88"/>
    <mergeCell ref="AB89:AD89"/>
    <mergeCell ref="AB97:AD97"/>
    <mergeCell ref="AB99:AD99"/>
    <mergeCell ref="AB60:AD60"/>
    <mergeCell ref="AB67:AD67"/>
    <mergeCell ref="AB73:AD73"/>
    <mergeCell ref="AF76:AG76"/>
    <mergeCell ref="AB78:AD78"/>
    <mergeCell ref="AB82:AD82"/>
    <mergeCell ref="AB81:AD81"/>
    <mergeCell ref="AB66:AD66"/>
    <mergeCell ref="AB69:AD69"/>
    <mergeCell ref="AF75:AG75"/>
    <mergeCell ref="AB196:AD196"/>
    <mergeCell ref="AB199:AD199"/>
    <mergeCell ref="AB157:AD157"/>
    <mergeCell ref="AB159:AD159"/>
    <mergeCell ref="AB160:AD160"/>
    <mergeCell ref="AB188:AD188"/>
    <mergeCell ref="AB191:AD191"/>
    <mergeCell ref="AB176:AD176"/>
    <mergeCell ref="AB161:AD161"/>
    <mergeCell ref="AB183:AD183"/>
    <mergeCell ref="AB165:AD165"/>
    <mergeCell ref="AB158:AD158"/>
    <mergeCell ref="AB142:AD142"/>
    <mergeCell ref="AB132:AD132"/>
    <mergeCell ref="AB149:AD149"/>
    <mergeCell ref="AB141:AD141"/>
    <mergeCell ref="AB148:AD148"/>
    <mergeCell ref="AB147:AD147"/>
    <mergeCell ref="AB28:AD28"/>
    <mergeCell ref="AB34:AD34"/>
    <mergeCell ref="AB38:AD38"/>
    <mergeCell ref="AB46:AD46"/>
    <mergeCell ref="AB40:AD40"/>
    <mergeCell ref="AB49:AD49"/>
    <mergeCell ref="AB30:AD30"/>
    <mergeCell ref="AB32:AD32"/>
    <mergeCell ref="AB36:AD36"/>
    <mergeCell ref="AB44:AD44"/>
    <mergeCell ref="AB193:AD193"/>
    <mergeCell ref="AB166:AD166"/>
    <mergeCell ref="AB163:AD163"/>
    <mergeCell ref="AB195:AD195"/>
    <mergeCell ref="AB197:AD197"/>
    <mergeCell ref="AB62:AD62"/>
    <mergeCell ref="AB71:AD71"/>
    <mergeCell ref="AB72:AD72"/>
    <mergeCell ref="AB64:AD64"/>
    <mergeCell ref="AB143:AD143"/>
    <mergeCell ref="AB84:AD84"/>
    <mergeCell ref="AB123:AD123"/>
    <mergeCell ref="AB127:AD127"/>
    <mergeCell ref="AB129:AD129"/>
    <mergeCell ref="AB92:AD92"/>
    <mergeCell ref="AB212:AD212"/>
    <mergeCell ref="AB162:AD162"/>
    <mergeCell ref="AB184:AD184"/>
    <mergeCell ref="AB198:AD198"/>
    <mergeCell ref="AB174:AD174"/>
    <mergeCell ref="AB65:AD65"/>
    <mergeCell ref="AB91:AD91"/>
    <mergeCell ref="AB124:AD124"/>
    <mergeCell ref="AB87:AD87"/>
    <mergeCell ref="AB90:AD90"/>
    <mergeCell ref="AF151:AG151"/>
    <mergeCell ref="AB146:AD146"/>
    <mergeCell ref="AB101:AD101"/>
    <mergeCell ref="AB107:AD107"/>
    <mergeCell ref="AB140:AD140"/>
    <mergeCell ref="AB39:AD39"/>
    <mergeCell ref="AB47:AD47"/>
    <mergeCell ref="AB55:AD55"/>
    <mergeCell ref="AB56:AD56"/>
    <mergeCell ref="AB58:AD58"/>
    <mergeCell ref="AB54:AD54"/>
    <mergeCell ref="AB48:AD48"/>
    <mergeCell ref="AB50:AD50"/>
    <mergeCell ref="AB52:AD52"/>
    <mergeCell ref="AB41:AD41"/>
    <mergeCell ref="AB190:AD190"/>
    <mergeCell ref="K171:M171"/>
    <mergeCell ref="K181:M181"/>
    <mergeCell ref="K183:M183"/>
    <mergeCell ref="K184:M184"/>
    <mergeCell ref="AB169:AD169"/>
    <mergeCell ref="AB179:AD179"/>
    <mergeCell ref="AB182:AD182"/>
    <mergeCell ref="AB185:AD185"/>
    <mergeCell ref="K209:M209"/>
    <mergeCell ref="K198:M198"/>
    <mergeCell ref="K201:M201"/>
    <mergeCell ref="K202:M202"/>
    <mergeCell ref="K203:M203"/>
    <mergeCell ref="K204:M204"/>
    <mergeCell ref="K205:M205"/>
    <mergeCell ref="K207:M207"/>
    <mergeCell ref="K206:M206"/>
    <mergeCell ref="K193:M193"/>
    <mergeCell ref="K176:M176"/>
    <mergeCell ref="K177:M177"/>
    <mergeCell ref="K178:M178"/>
    <mergeCell ref="K192:M192"/>
    <mergeCell ref="K172:M172"/>
    <mergeCell ref="K186:M186"/>
    <mergeCell ref="K195:M195"/>
    <mergeCell ref="K149:M149"/>
    <mergeCell ref="K150:M150"/>
    <mergeCell ref="O155:P155"/>
    <mergeCell ref="K197:M197"/>
    <mergeCell ref="K187:M187"/>
    <mergeCell ref="K190:M190"/>
    <mergeCell ref="K180:M180"/>
    <mergeCell ref="O156:P156"/>
    <mergeCell ref="K159:M159"/>
    <mergeCell ref="K146:M146"/>
    <mergeCell ref="K147:M147"/>
    <mergeCell ref="K148:M148"/>
    <mergeCell ref="AB70:AD70"/>
    <mergeCell ref="AB125:AD125"/>
    <mergeCell ref="AB128:AD128"/>
    <mergeCell ref="K138:M138"/>
    <mergeCell ref="K142:M142"/>
    <mergeCell ref="K144:M144"/>
    <mergeCell ref="AB104:AD104"/>
    <mergeCell ref="K140:M140"/>
    <mergeCell ref="K141:M141"/>
    <mergeCell ref="AB12:AD12"/>
    <mergeCell ref="AB13:AD13"/>
    <mergeCell ref="AB15:AD15"/>
    <mergeCell ref="AB16:AD16"/>
    <mergeCell ref="AB17:AD17"/>
    <mergeCell ref="AB27:AD27"/>
    <mergeCell ref="AB20:AD20"/>
    <mergeCell ref="K130:M130"/>
    <mergeCell ref="K109:M109"/>
    <mergeCell ref="K145:M145"/>
    <mergeCell ref="AB144:AD144"/>
    <mergeCell ref="AB145:AD145"/>
    <mergeCell ref="K139:M139"/>
    <mergeCell ref="K134:M134"/>
    <mergeCell ref="K133:M133"/>
    <mergeCell ref="AB133:AD133"/>
    <mergeCell ref="K136:M136"/>
    <mergeCell ref="K137:M137"/>
    <mergeCell ref="AB137:AD137"/>
    <mergeCell ref="K128:M128"/>
    <mergeCell ref="K129:M129"/>
    <mergeCell ref="AB136:AD136"/>
    <mergeCell ref="K127:M127"/>
    <mergeCell ref="K118:M118"/>
    <mergeCell ref="K131:M131"/>
    <mergeCell ref="AB118:AD118"/>
    <mergeCell ref="AB134:AD134"/>
    <mergeCell ref="AF2:AG2"/>
    <mergeCell ref="AF3:AG3"/>
    <mergeCell ref="AB5:AD5"/>
    <mergeCell ref="AB10:AD10"/>
    <mergeCell ref="AB11:AD11"/>
    <mergeCell ref="AB25:AD25"/>
    <mergeCell ref="AB18:AD18"/>
    <mergeCell ref="AB22:AD22"/>
    <mergeCell ref="AB23:AD23"/>
    <mergeCell ref="AB21:AD21"/>
    <mergeCell ref="K132:M132"/>
    <mergeCell ref="AB98:AD98"/>
    <mergeCell ref="AB100:AD100"/>
    <mergeCell ref="K123:M123"/>
    <mergeCell ref="K122:M122"/>
    <mergeCell ref="K125:M125"/>
    <mergeCell ref="K111:M111"/>
    <mergeCell ref="K113:M113"/>
    <mergeCell ref="AB108:AD108"/>
    <mergeCell ref="K115:M115"/>
    <mergeCell ref="K105:M105"/>
    <mergeCell ref="K95:M95"/>
    <mergeCell ref="K102:M102"/>
    <mergeCell ref="K104:M104"/>
    <mergeCell ref="K103:M103"/>
    <mergeCell ref="AB19:AD19"/>
    <mergeCell ref="AB42:AD42"/>
    <mergeCell ref="AB43:AD43"/>
    <mergeCell ref="AB24:AD24"/>
    <mergeCell ref="AB35:AD35"/>
    <mergeCell ref="K66:M66"/>
    <mergeCell ref="K70:M70"/>
    <mergeCell ref="K72:M72"/>
    <mergeCell ref="K94:M94"/>
    <mergeCell ref="K75:M75"/>
    <mergeCell ref="K86:M86"/>
    <mergeCell ref="K90:M90"/>
    <mergeCell ref="K91:M91"/>
    <mergeCell ref="K73:M73"/>
    <mergeCell ref="K93:M93"/>
    <mergeCell ref="K74:M74"/>
    <mergeCell ref="K101:M101"/>
    <mergeCell ref="O77:P77"/>
    <mergeCell ref="O78:P78"/>
    <mergeCell ref="K80:M80"/>
    <mergeCell ref="K84:M84"/>
    <mergeCell ref="K98:M98"/>
    <mergeCell ref="K92:M92"/>
    <mergeCell ref="K83:M83"/>
    <mergeCell ref="K100:M100"/>
    <mergeCell ref="K107:M107"/>
    <mergeCell ref="K87:M87"/>
    <mergeCell ref="K112:M112"/>
    <mergeCell ref="K47:M47"/>
    <mergeCell ref="K49:M49"/>
    <mergeCell ref="K50:M50"/>
    <mergeCell ref="K52:M52"/>
    <mergeCell ref="K54:M54"/>
    <mergeCell ref="K48:M48"/>
    <mergeCell ref="K81:M81"/>
    <mergeCell ref="K64:M64"/>
    <mergeCell ref="K71:M71"/>
    <mergeCell ref="K96:M96"/>
    <mergeCell ref="K35:M35"/>
    <mergeCell ref="K36:M36"/>
    <mergeCell ref="K38:M38"/>
    <mergeCell ref="K39:M39"/>
    <mergeCell ref="K40:M40"/>
    <mergeCell ref="K43:M43"/>
    <mergeCell ref="K67:M67"/>
    <mergeCell ref="K46:M46"/>
    <mergeCell ref="K59:M59"/>
    <mergeCell ref="K55:M55"/>
    <mergeCell ref="K56:M56"/>
    <mergeCell ref="K58:M58"/>
    <mergeCell ref="K63:M63"/>
    <mergeCell ref="K57:M57"/>
    <mergeCell ref="K60:M60"/>
    <mergeCell ref="K25:M25"/>
    <mergeCell ref="K27:M27"/>
    <mergeCell ref="K62:M62"/>
    <mergeCell ref="K44:M44"/>
    <mergeCell ref="K28:M28"/>
    <mergeCell ref="K22:M22"/>
    <mergeCell ref="K41:M41"/>
    <mergeCell ref="K42:M42"/>
    <mergeCell ref="K29:M29"/>
    <mergeCell ref="K30:M30"/>
    <mergeCell ref="K32:M32"/>
    <mergeCell ref="K34:M34"/>
    <mergeCell ref="K23:M23"/>
    <mergeCell ref="K24:M24"/>
    <mergeCell ref="K15:M15"/>
    <mergeCell ref="K16:M16"/>
    <mergeCell ref="K17:M17"/>
    <mergeCell ref="K18:M18"/>
    <mergeCell ref="K19:M19"/>
    <mergeCell ref="K21:M21"/>
    <mergeCell ref="O2:P2"/>
    <mergeCell ref="O3:P3"/>
    <mergeCell ref="K5:M5"/>
    <mergeCell ref="K6:M6"/>
    <mergeCell ref="K10:M10"/>
    <mergeCell ref="K175:M175"/>
    <mergeCell ref="K20:M20"/>
    <mergeCell ref="K11:M11"/>
    <mergeCell ref="K12:M12"/>
    <mergeCell ref="K13:M13"/>
    <mergeCell ref="K212:M212"/>
    <mergeCell ref="K151:M151"/>
    <mergeCell ref="K161:M161"/>
    <mergeCell ref="K162:M162"/>
    <mergeCell ref="K164:M164"/>
    <mergeCell ref="K191:M191"/>
    <mergeCell ref="K165:M165"/>
    <mergeCell ref="K166:M166"/>
    <mergeCell ref="K167:M167"/>
    <mergeCell ref="K189:M189"/>
    <mergeCell ref="K163:M163"/>
    <mergeCell ref="K158:M158"/>
    <mergeCell ref="K168:M168"/>
    <mergeCell ref="K169:M169"/>
    <mergeCell ref="K170:M170"/>
    <mergeCell ref="K173:M173"/>
    <mergeCell ref="AB29:AD29"/>
    <mergeCell ref="AB164:AD164"/>
    <mergeCell ref="AB171:AD171"/>
    <mergeCell ref="AB175:AD175"/>
    <mergeCell ref="AB167:AD167"/>
    <mergeCell ref="AB168:AD168"/>
    <mergeCell ref="AB170:AD170"/>
    <mergeCell ref="AB59:AD59"/>
    <mergeCell ref="AB57:AD57"/>
    <mergeCell ref="AB63:AD63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31">
      <selection activeCell="O105" sqref="O105"/>
    </sheetView>
  </sheetViews>
  <sheetFormatPr defaultColWidth="9.140625" defaultRowHeight="12.75" outlineLevelCol="1"/>
  <cols>
    <col min="1" max="1" width="1.28515625" style="0" customWidth="1"/>
    <col min="2" max="2" width="7.8515625" style="0" customWidth="1"/>
    <col min="3" max="3" width="1.57421875" style="0" customWidth="1"/>
    <col min="4" max="4" width="3.140625" style="0" customWidth="1"/>
    <col min="5" max="5" width="48.28125" style="0" customWidth="1"/>
    <col min="6" max="6" width="13.140625" style="0" hidden="1" customWidth="1" outlineLevel="1"/>
    <col min="7" max="7" width="10.28125" style="0" hidden="1" customWidth="1" outlineLevel="1"/>
    <col min="8" max="8" width="4.7109375" style="0" hidden="1" customWidth="1" outlineLevel="1"/>
    <col min="9" max="9" width="15.7109375" style="0" hidden="1" customWidth="1" outlineLevel="1"/>
    <col min="10" max="10" width="1.57421875" style="0" hidden="1" customWidth="1" outlineLevel="1"/>
    <col min="11" max="11" width="12.57421875" style="0" hidden="1" customWidth="1" outlineLevel="1"/>
    <col min="12" max="12" width="1.57421875" style="0" hidden="1" customWidth="1" outlineLevel="1"/>
    <col min="13" max="14" width="15.7109375" style="0" hidden="1" customWidth="1" outlineLevel="1"/>
    <col min="15" max="15" width="15.7109375" style="0" customWidth="1" collapsed="1"/>
    <col min="16" max="16" width="12.28125" style="0" bestFit="1" customWidth="1"/>
    <col min="18" max="18" width="1.7109375" style="0" customWidth="1"/>
    <col min="19" max="19" width="1.7109375" style="0" customWidth="1" outlineLevel="1"/>
    <col min="20" max="21" width="9.140625" style="0" customWidth="1" outlineLevel="1"/>
    <col min="22" max="22" width="30.140625" style="0" customWidth="1" outlineLevel="1"/>
    <col min="23" max="23" width="11.57421875" style="0" customWidth="1" outlineLevel="1"/>
    <col min="24" max="24" width="18.7109375" style="0" customWidth="1" outlineLevel="1"/>
    <col min="25" max="25" width="11.421875" style="0" customWidth="1" outlineLevel="1"/>
    <col min="26" max="26" width="11.57421875" style="0" customWidth="1"/>
    <col min="27" max="27" width="12.28125" style="0" hidden="1" customWidth="1"/>
    <col min="28" max="28" width="16.421875" style="0" customWidth="1"/>
    <col min="29" max="29" width="18.421875" style="0" customWidth="1"/>
    <col min="30" max="30" width="20.421875" style="0" customWidth="1"/>
  </cols>
  <sheetData>
    <row r="1" spans="1:16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8"/>
    </row>
    <row r="2" spans="1:16" ht="18.75" customHeight="1">
      <c r="A2" s="115"/>
      <c r="B2" s="7" t="s">
        <v>847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64" t="s">
        <v>270</v>
      </c>
      <c r="O2" s="264"/>
      <c r="P2" s="158"/>
    </row>
    <row r="3" spans="1:16" ht="12.75" customHeight="1" thickBot="1">
      <c r="A3" s="115"/>
      <c r="B3" s="8" t="s">
        <v>271</v>
      </c>
      <c r="C3" s="9"/>
      <c r="D3" s="9"/>
      <c r="E3" s="9"/>
      <c r="F3" s="9"/>
      <c r="G3" s="9"/>
      <c r="H3" s="133" t="s">
        <v>272</v>
      </c>
      <c r="I3" s="9"/>
      <c r="J3" s="9"/>
      <c r="K3" s="133" t="s">
        <v>637</v>
      </c>
      <c r="L3" s="133" t="s">
        <v>849</v>
      </c>
      <c r="M3" s="9"/>
      <c r="N3" s="265" t="s">
        <v>273</v>
      </c>
      <c r="O3" s="265"/>
      <c r="P3" s="158"/>
    </row>
    <row r="4" spans="1:16" ht="18.75" customHeight="1" thickTop="1">
      <c r="A4" s="11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58"/>
    </row>
    <row r="5" spans="1:28" ht="12" customHeight="1">
      <c r="A5" s="115"/>
      <c r="B5" s="12" t="s">
        <v>274</v>
      </c>
      <c r="C5" s="115"/>
      <c r="D5" s="115"/>
      <c r="E5" s="115"/>
      <c r="F5" s="115"/>
      <c r="G5" s="115"/>
      <c r="H5" s="115"/>
      <c r="I5" s="154" t="s">
        <v>275</v>
      </c>
      <c r="J5" s="261" t="s">
        <v>276</v>
      </c>
      <c r="K5" s="261"/>
      <c r="L5" s="261"/>
      <c r="M5" s="154" t="s">
        <v>276</v>
      </c>
      <c r="N5" s="154" t="s">
        <v>277</v>
      </c>
      <c r="O5" s="154" t="s">
        <v>278</v>
      </c>
      <c r="P5" s="15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0" ht="12" customHeight="1">
      <c r="A6" s="115"/>
      <c r="B6" s="115"/>
      <c r="C6" s="115"/>
      <c r="D6" s="12" t="s">
        <v>279</v>
      </c>
      <c r="E6" s="115"/>
      <c r="F6" s="115"/>
      <c r="G6" s="115"/>
      <c r="H6" s="115"/>
      <c r="I6" s="154" t="s">
        <v>280</v>
      </c>
      <c r="J6" s="261" t="s">
        <v>281</v>
      </c>
      <c r="K6" s="261"/>
      <c r="L6" s="261"/>
      <c r="M6" s="154" t="s">
        <v>282</v>
      </c>
      <c r="N6" s="154" t="s">
        <v>283</v>
      </c>
      <c r="O6" s="154" t="s">
        <v>280</v>
      </c>
      <c r="P6" s="158"/>
      <c r="Q6" s="219" t="s">
        <v>847</v>
      </c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73" t="s">
        <v>270</v>
      </c>
      <c r="AD6" s="273"/>
    </row>
    <row r="7" spans="1:30" ht="14.25" customHeight="1" thickBot="1">
      <c r="A7" s="11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8"/>
      <c r="Q7" s="220" t="s">
        <v>271</v>
      </c>
      <c r="R7" s="221"/>
      <c r="S7" s="221"/>
      <c r="T7" s="221"/>
      <c r="U7" s="221"/>
      <c r="V7" s="221"/>
      <c r="W7" s="222" t="s">
        <v>272</v>
      </c>
      <c r="X7" s="221"/>
      <c r="Y7" s="221"/>
      <c r="Z7" s="222" t="s">
        <v>1109</v>
      </c>
      <c r="AA7" s="222" t="s">
        <v>1124</v>
      </c>
      <c r="AB7" s="221"/>
      <c r="AC7" s="274" t="s">
        <v>273</v>
      </c>
      <c r="AD7" s="274"/>
    </row>
    <row r="8" spans="1:30" ht="12" customHeight="1" thickTop="1">
      <c r="A8" s="1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8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</row>
    <row r="9" spans="1:30" ht="15" customHeight="1">
      <c r="A9" s="115"/>
      <c r="B9" s="67" t="s">
        <v>848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58"/>
      <c r="Q9" s="224" t="s">
        <v>274</v>
      </c>
      <c r="R9" s="218"/>
      <c r="S9" s="218"/>
      <c r="T9" s="218"/>
      <c r="U9" s="218"/>
      <c r="V9" s="218"/>
      <c r="W9" s="218"/>
      <c r="X9" s="225" t="s">
        <v>1084</v>
      </c>
      <c r="Y9" s="275" t="s">
        <v>1085</v>
      </c>
      <c r="Z9" s="275"/>
      <c r="AA9" s="275"/>
      <c r="AB9" s="225" t="s">
        <v>1086</v>
      </c>
      <c r="AC9" s="225" t="s">
        <v>1087</v>
      </c>
      <c r="AD9" s="225" t="s">
        <v>1088</v>
      </c>
    </row>
    <row r="10" spans="1:30" ht="12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58"/>
      <c r="Q10" s="218"/>
      <c r="R10" s="218"/>
      <c r="S10" s="224" t="s">
        <v>279</v>
      </c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</row>
    <row r="11" spans="1:30" ht="12" customHeight="1" thickBot="1">
      <c r="A11" s="115"/>
      <c r="B11" s="123">
        <v>518000</v>
      </c>
      <c r="C11" s="115"/>
      <c r="D11" s="115"/>
      <c r="E11" s="123" t="s">
        <v>954</v>
      </c>
      <c r="F11" s="115"/>
      <c r="G11" s="115"/>
      <c r="H11" s="115"/>
      <c r="I11" s="152">
        <v>0</v>
      </c>
      <c r="J11" s="259">
        <v>0</v>
      </c>
      <c r="K11" s="259"/>
      <c r="L11" s="259"/>
      <c r="M11" s="152">
        <v>0</v>
      </c>
      <c r="N11" s="152">
        <v>0</v>
      </c>
      <c r="O11" s="152">
        <v>0</v>
      </c>
      <c r="P11" s="158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</row>
    <row r="12" spans="1:30" ht="12" customHeight="1">
      <c r="A12" s="115"/>
      <c r="B12" s="12" t="s">
        <v>955</v>
      </c>
      <c r="C12" s="115"/>
      <c r="D12" s="12" t="s">
        <v>956</v>
      </c>
      <c r="E12" s="115"/>
      <c r="F12" s="115"/>
      <c r="G12" s="115"/>
      <c r="H12" s="115"/>
      <c r="I12" s="153">
        <v>0</v>
      </c>
      <c r="J12" s="266">
        <v>0</v>
      </c>
      <c r="K12" s="266"/>
      <c r="L12" s="266"/>
      <c r="M12" s="153">
        <v>0</v>
      </c>
      <c r="N12" s="153">
        <v>0</v>
      </c>
      <c r="O12" s="153">
        <v>0</v>
      </c>
      <c r="P12" s="158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</row>
    <row r="13" spans="1:30" ht="12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58"/>
      <c r="Q13" s="228" t="s">
        <v>848</v>
      </c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</row>
    <row r="14" spans="1:30" ht="12" customHeight="1">
      <c r="A14" s="115"/>
      <c r="B14" s="123">
        <v>561100</v>
      </c>
      <c r="C14" s="115"/>
      <c r="D14" s="115"/>
      <c r="E14" s="115" t="s">
        <v>967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59">
        <f aca="true" t="shared" si="0" ref="O14:O30">AD15</f>
        <v>24752</v>
      </c>
      <c r="P14" s="15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</row>
    <row r="15" spans="1:30" ht="12" customHeight="1">
      <c r="A15" s="115"/>
      <c r="B15" s="123">
        <v>563110</v>
      </c>
      <c r="C15" s="115"/>
      <c r="D15" s="115"/>
      <c r="E15" s="123" t="s">
        <v>712</v>
      </c>
      <c r="F15" s="115"/>
      <c r="G15" s="115"/>
      <c r="H15" s="115"/>
      <c r="I15" s="152">
        <v>14512.34</v>
      </c>
      <c r="J15" s="260">
        <v>4853.79</v>
      </c>
      <c r="K15" s="260"/>
      <c r="L15" s="260"/>
      <c r="M15" s="152">
        <v>0</v>
      </c>
      <c r="N15" s="152">
        <v>4853.79</v>
      </c>
      <c r="O15" s="172">
        <f t="shared" si="0"/>
        <v>492294</v>
      </c>
      <c r="P15" s="158"/>
      <c r="Q15" s="229" t="s">
        <v>1110</v>
      </c>
      <c r="R15" s="218"/>
      <c r="S15" s="218"/>
      <c r="T15" s="230" t="s">
        <v>967</v>
      </c>
      <c r="U15" s="218"/>
      <c r="V15" s="218"/>
      <c r="W15" s="218"/>
      <c r="X15" s="231">
        <v>17242</v>
      </c>
      <c r="Y15" s="270">
        <v>7510</v>
      </c>
      <c r="Z15" s="270"/>
      <c r="AA15" s="270"/>
      <c r="AB15" s="231">
        <v>0</v>
      </c>
      <c r="AC15" s="231">
        <v>7510</v>
      </c>
      <c r="AD15" s="231">
        <v>24752</v>
      </c>
    </row>
    <row r="16" spans="1:30" ht="12" customHeight="1">
      <c r="A16" s="115"/>
      <c r="B16" s="123">
        <v>563111</v>
      </c>
      <c r="C16" s="115"/>
      <c r="D16" s="115"/>
      <c r="E16" s="123" t="s">
        <v>713</v>
      </c>
      <c r="F16" s="115"/>
      <c r="G16" s="115"/>
      <c r="H16" s="115"/>
      <c r="I16" s="152">
        <v>2152440</v>
      </c>
      <c r="J16" s="260">
        <v>647417</v>
      </c>
      <c r="K16" s="260"/>
      <c r="L16" s="260"/>
      <c r="M16" s="152">
        <v>0</v>
      </c>
      <c r="N16" s="152">
        <v>647417</v>
      </c>
      <c r="O16" s="182">
        <f t="shared" si="0"/>
        <v>675416</v>
      </c>
      <c r="P16" s="158"/>
      <c r="Q16" s="229" t="s">
        <v>901</v>
      </c>
      <c r="R16" s="218"/>
      <c r="S16" s="218"/>
      <c r="T16" s="230" t="s">
        <v>712</v>
      </c>
      <c r="U16" s="218"/>
      <c r="V16" s="218"/>
      <c r="W16" s="218"/>
      <c r="X16" s="231">
        <v>394756</v>
      </c>
      <c r="Y16" s="270">
        <v>97538</v>
      </c>
      <c r="Z16" s="270"/>
      <c r="AA16" s="270"/>
      <c r="AB16" s="231">
        <v>0</v>
      </c>
      <c r="AC16" s="231">
        <v>97538</v>
      </c>
      <c r="AD16" s="231">
        <v>492294</v>
      </c>
    </row>
    <row r="17" spans="1:30" ht="12" customHeight="1">
      <c r="A17" s="115"/>
      <c r="B17" s="123">
        <v>563200</v>
      </c>
      <c r="C17" s="115"/>
      <c r="D17" s="115"/>
      <c r="E17" s="123" t="s">
        <v>714</v>
      </c>
      <c r="F17" s="115"/>
      <c r="G17" s="115"/>
      <c r="H17" s="115"/>
      <c r="I17" s="152">
        <v>673136</v>
      </c>
      <c r="J17" s="260">
        <v>224670</v>
      </c>
      <c r="K17" s="260"/>
      <c r="L17" s="260"/>
      <c r="M17" s="152">
        <v>0</v>
      </c>
      <c r="N17" s="152">
        <v>224670</v>
      </c>
      <c r="O17" s="182">
        <f t="shared" si="0"/>
        <v>394689</v>
      </c>
      <c r="P17" s="158"/>
      <c r="Q17" s="229" t="s">
        <v>902</v>
      </c>
      <c r="R17" s="218"/>
      <c r="S17" s="218"/>
      <c r="T17" s="230" t="s">
        <v>713</v>
      </c>
      <c r="U17" s="218"/>
      <c r="V17" s="218"/>
      <c r="W17" s="218"/>
      <c r="X17" s="231">
        <v>449596</v>
      </c>
      <c r="Y17" s="270">
        <v>225820</v>
      </c>
      <c r="Z17" s="270"/>
      <c r="AA17" s="270"/>
      <c r="AB17" s="231">
        <v>0</v>
      </c>
      <c r="AC17" s="231">
        <v>225820</v>
      </c>
      <c r="AD17" s="231">
        <v>675416</v>
      </c>
    </row>
    <row r="18" spans="1:30" ht="12" customHeight="1">
      <c r="A18" s="115"/>
      <c r="B18" s="123" t="s">
        <v>904</v>
      </c>
      <c r="C18" s="115"/>
      <c r="D18" s="115"/>
      <c r="E18" s="123" t="s">
        <v>715</v>
      </c>
      <c r="F18" s="115"/>
      <c r="G18" s="115"/>
      <c r="H18" s="115"/>
      <c r="I18" s="152">
        <v>956596</v>
      </c>
      <c r="J18" s="260">
        <v>296511</v>
      </c>
      <c r="K18" s="260"/>
      <c r="L18" s="260"/>
      <c r="M18" s="152">
        <v>0</v>
      </c>
      <c r="N18" s="152">
        <v>296511</v>
      </c>
      <c r="O18" s="182">
        <f t="shared" si="0"/>
        <v>40425</v>
      </c>
      <c r="P18" s="158"/>
      <c r="Q18" s="229" t="s">
        <v>903</v>
      </c>
      <c r="R18" s="218"/>
      <c r="S18" s="218"/>
      <c r="T18" s="230" t="s">
        <v>714</v>
      </c>
      <c r="U18" s="218"/>
      <c r="V18" s="218"/>
      <c r="W18" s="218"/>
      <c r="X18" s="231">
        <v>285392</v>
      </c>
      <c r="Y18" s="270">
        <v>109297</v>
      </c>
      <c r="Z18" s="270"/>
      <c r="AA18" s="270"/>
      <c r="AB18" s="231">
        <v>0</v>
      </c>
      <c r="AC18" s="231">
        <v>109297</v>
      </c>
      <c r="AD18" s="231">
        <v>394689</v>
      </c>
    </row>
    <row r="19" spans="1:30" ht="12" customHeight="1">
      <c r="A19" s="115"/>
      <c r="B19" s="123" t="s">
        <v>905</v>
      </c>
      <c r="C19" s="115"/>
      <c r="D19" s="115"/>
      <c r="E19" s="123" t="s">
        <v>716</v>
      </c>
      <c r="F19" s="115"/>
      <c r="G19" s="115"/>
      <c r="H19" s="115"/>
      <c r="I19" s="152">
        <v>35380.74</v>
      </c>
      <c r="J19" s="260">
        <v>11138.4</v>
      </c>
      <c r="K19" s="260"/>
      <c r="L19" s="260"/>
      <c r="M19" s="152">
        <v>0</v>
      </c>
      <c r="N19" s="152">
        <v>11138.4</v>
      </c>
      <c r="O19" s="182">
        <f t="shared" si="0"/>
        <v>33075</v>
      </c>
      <c r="P19" s="158"/>
      <c r="Q19" s="229" t="s">
        <v>904</v>
      </c>
      <c r="R19" s="218"/>
      <c r="S19" s="218"/>
      <c r="T19" s="230" t="s">
        <v>715</v>
      </c>
      <c r="U19" s="218"/>
      <c r="V19" s="218"/>
      <c r="W19" s="218"/>
      <c r="X19" s="231">
        <v>29150</v>
      </c>
      <c r="Y19" s="270">
        <v>11275</v>
      </c>
      <c r="Z19" s="270"/>
      <c r="AA19" s="270"/>
      <c r="AB19" s="231">
        <v>0</v>
      </c>
      <c r="AC19" s="231">
        <v>11275</v>
      </c>
      <c r="AD19" s="231">
        <v>40425</v>
      </c>
    </row>
    <row r="20" spans="1:30" ht="12" customHeight="1">
      <c r="A20" s="115"/>
      <c r="B20" s="123">
        <v>563500</v>
      </c>
      <c r="C20" s="115"/>
      <c r="D20" s="115"/>
      <c r="E20" s="123" t="s">
        <v>968</v>
      </c>
      <c r="F20" s="115"/>
      <c r="G20" s="115"/>
      <c r="H20" s="115"/>
      <c r="I20" s="159"/>
      <c r="J20" s="159"/>
      <c r="K20" s="159"/>
      <c r="L20" s="159"/>
      <c r="M20" s="159"/>
      <c r="N20" s="159"/>
      <c r="O20" s="182">
        <f t="shared" si="0"/>
        <v>9000</v>
      </c>
      <c r="P20" s="158"/>
      <c r="Q20" s="229" t="s">
        <v>905</v>
      </c>
      <c r="R20" s="218"/>
      <c r="S20" s="218"/>
      <c r="T20" s="230" t="s">
        <v>716</v>
      </c>
      <c r="U20" s="218"/>
      <c r="V20" s="218"/>
      <c r="W20" s="218"/>
      <c r="X20" s="231">
        <v>23850</v>
      </c>
      <c r="Y20" s="270">
        <v>9225</v>
      </c>
      <c r="Z20" s="270"/>
      <c r="AA20" s="270"/>
      <c r="AB20" s="231">
        <v>0</v>
      </c>
      <c r="AC20" s="231">
        <v>9225</v>
      </c>
      <c r="AD20" s="231">
        <v>33075</v>
      </c>
    </row>
    <row r="21" spans="1:30" ht="12" customHeight="1">
      <c r="A21" s="115"/>
      <c r="B21" s="123" t="s">
        <v>906</v>
      </c>
      <c r="C21" s="115"/>
      <c r="D21" s="115"/>
      <c r="E21" s="123" t="s">
        <v>717</v>
      </c>
      <c r="F21" s="115"/>
      <c r="G21" s="115"/>
      <c r="H21" s="115"/>
      <c r="I21" s="152">
        <v>29419.26</v>
      </c>
      <c r="J21" s="260">
        <v>9261.6</v>
      </c>
      <c r="K21" s="260"/>
      <c r="L21" s="260"/>
      <c r="M21" s="152">
        <v>0</v>
      </c>
      <c r="N21" s="152">
        <v>9261.6</v>
      </c>
      <c r="O21" s="182">
        <f t="shared" si="0"/>
        <v>296056.9</v>
      </c>
      <c r="P21" s="158"/>
      <c r="Q21" s="229" t="s">
        <v>1122</v>
      </c>
      <c r="R21" s="218"/>
      <c r="S21" s="218"/>
      <c r="T21" s="230" t="s">
        <v>968</v>
      </c>
      <c r="U21" s="218"/>
      <c r="V21" s="218"/>
      <c r="W21" s="218"/>
      <c r="X21" s="231">
        <v>4500</v>
      </c>
      <c r="Y21" s="270">
        <v>4500</v>
      </c>
      <c r="Z21" s="270"/>
      <c r="AA21" s="270"/>
      <c r="AB21" s="231">
        <v>0</v>
      </c>
      <c r="AC21" s="231">
        <v>4500</v>
      </c>
      <c r="AD21" s="231">
        <v>9000</v>
      </c>
    </row>
    <row r="22" spans="1:30" ht="12" customHeight="1">
      <c r="A22" s="115"/>
      <c r="B22" s="123" t="s">
        <v>907</v>
      </c>
      <c r="C22" s="115"/>
      <c r="D22" s="115"/>
      <c r="E22" s="123" t="s">
        <v>718</v>
      </c>
      <c r="F22" s="115"/>
      <c r="G22" s="115"/>
      <c r="H22" s="115"/>
      <c r="I22" s="152">
        <v>7200</v>
      </c>
      <c r="J22" s="260">
        <v>8712</v>
      </c>
      <c r="K22" s="260"/>
      <c r="L22" s="260"/>
      <c r="M22" s="152">
        <v>0</v>
      </c>
      <c r="N22" s="152">
        <v>8712</v>
      </c>
      <c r="O22" s="182">
        <f t="shared" si="0"/>
        <v>55917.09</v>
      </c>
      <c r="P22" s="158"/>
      <c r="Q22" s="229" t="s">
        <v>906</v>
      </c>
      <c r="R22" s="218"/>
      <c r="S22" s="218"/>
      <c r="T22" s="230" t="s">
        <v>717</v>
      </c>
      <c r="U22" s="218"/>
      <c r="V22" s="218"/>
      <c r="W22" s="218"/>
      <c r="X22" s="231">
        <v>208044.08</v>
      </c>
      <c r="Y22" s="270">
        <v>88012.82</v>
      </c>
      <c r="Z22" s="270"/>
      <c r="AA22" s="270"/>
      <c r="AB22" s="231">
        <v>0</v>
      </c>
      <c r="AC22" s="231">
        <v>88012.82</v>
      </c>
      <c r="AD22" s="231">
        <v>296056.9</v>
      </c>
    </row>
    <row r="23" spans="1:30" ht="12" customHeight="1">
      <c r="A23" s="115"/>
      <c r="B23" s="123" t="s">
        <v>908</v>
      </c>
      <c r="C23" s="115"/>
      <c r="D23" s="115"/>
      <c r="E23" s="123" t="s">
        <v>719</v>
      </c>
      <c r="F23" s="115"/>
      <c r="G23" s="115"/>
      <c r="H23" s="115"/>
      <c r="I23" s="152">
        <v>189131.82</v>
      </c>
      <c r="J23" s="260">
        <v>68989.89</v>
      </c>
      <c r="K23" s="260"/>
      <c r="L23" s="260"/>
      <c r="M23" s="152">
        <v>0</v>
      </c>
      <c r="N23" s="152">
        <v>68989.89</v>
      </c>
      <c r="O23" s="182">
        <f t="shared" si="0"/>
        <v>27732.16</v>
      </c>
      <c r="P23" s="158"/>
      <c r="Q23" s="229" t="s">
        <v>907</v>
      </c>
      <c r="R23" s="218"/>
      <c r="S23" s="218"/>
      <c r="T23" s="230" t="s">
        <v>718</v>
      </c>
      <c r="U23" s="218"/>
      <c r="V23" s="218"/>
      <c r="W23" s="218"/>
      <c r="X23" s="231">
        <v>55917.09</v>
      </c>
      <c r="Y23" s="270">
        <v>0</v>
      </c>
      <c r="Z23" s="270"/>
      <c r="AA23" s="270"/>
      <c r="AB23" s="231">
        <v>0</v>
      </c>
      <c r="AC23" s="231">
        <v>0</v>
      </c>
      <c r="AD23" s="231">
        <v>55917.09</v>
      </c>
    </row>
    <row r="24" spans="1:30" ht="12" customHeight="1">
      <c r="A24" s="115"/>
      <c r="B24" s="123" t="s">
        <v>909</v>
      </c>
      <c r="C24" s="115"/>
      <c r="D24" s="115"/>
      <c r="E24" s="123" t="s">
        <v>758</v>
      </c>
      <c r="F24" s="115"/>
      <c r="G24" s="115"/>
      <c r="H24" s="115"/>
      <c r="I24" s="152">
        <v>142871.62</v>
      </c>
      <c r="J24" s="260">
        <v>43706.9</v>
      </c>
      <c r="K24" s="260"/>
      <c r="L24" s="260"/>
      <c r="M24" s="152">
        <v>0</v>
      </c>
      <c r="N24" s="152">
        <v>43706.9</v>
      </c>
      <c r="O24" s="182">
        <f t="shared" si="0"/>
        <v>5756.18</v>
      </c>
      <c r="P24" s="158"/>
      <c r="Q24" s="229" t="s">
        <v>908</v>
      </c>
      <c r="R24" s="218"/>
      <c r="S24" s="218"/>
      <c r="T24" s="230" t="s">
        <v>719</v>
      </c>
      <c r="U24" s="218"/>
      <c r="V24" s="218"/>
      <c r="W24" s="218"/>
      <c r="X24" s="231">
        <v>26163.6</v>
      </c>
      <c r="Y24" s="270">
        <v>1568.56</v>
      </c>
      <c r="Z24" s="270"/>
      <c r="AA24" s="270"/>
      <c r="AB24" s="231">
        <v>0</v>
      </c>
      <c r="AC24" s="231">
        <v>1568.56</v>
      </c>
      <c r="AD24" s="231">
        <v>27732.16</v>
      </c>
    </row>
    <row r="25" spans="1:30" ht="12" customHeight="1">
      <c r="A25" s="115"/>
      <c r="B25" s="123" t="s">
        <v>910</v>
      </c>
      <c r="C25" s="115"/>
      <c r="D25" s="115"/>
      <c r="E25" s="123" t="s">
        <v>720</v>
      </c>
      <c r="F25" s="115"/>
      <c r="G25" s="115"/>
      <c r="H25" s="115"/>
      <c r="I25" s="152">
        <v>17321.21</v>
      </c>
      <c r="J25" s="260">
        <v>2173.54</v>
      </c>
      <c r="K25" s="260"/>
      <c r="L25" s="260"/>
      <c r="M25" s="152">
        <v>0</v>
      </c>
      <c r="N25" s="152">
        <v>2173.54</v>
      </c>
      <c r="O25" s="182">
        <f t="shared" si="0"/>
        <v>2147.82</v>
      </c>
      <c r="P25" s="158"/>
      <c r="Q25" s="229" t="s">
        <v>909</v>
      </c>
      <c r="R25" s="218"/>
      <c r="S25" s="218"/>
      <c r="T25" s="230" t="s">
        <v>758</v>
      </c>
      <c r="U25" s="218"/>
      <c r="V25" s="218"/>
      <c r="W25" s="218"/>
      <c r="X25" s="231">
        <v>4743.45</v>
      </c>
      <c r="Y25" s="270">
        <v>1012.73</v>
      </c>
      <c r="Z25" s="270"/>
      <c r="AA25" s="270"/>
      <c r="AB25" s="231">
        <v>0</v>
      </c>
      <c r="AC25" s="231">
        <v>1012.73</v>
      </c>
      <c r="AD25" s="231">
        <v>5756.18</v>
      </c>
    </row>
    <row r="26" spans="1:30" ht="12" customHeight="1">
      <c r="A26" s="115"/>
      <c r="B26" s="123" t="s">
        <v>969</v>
      </c>
      <c r="C26" s="115"/>
      <c r="D26" s="115"/>
      <c r="E26" s="123" t="s">
        <v>970</v>
      </c>
      <c r="F26" s="115"/>
      <c r="G26" s="115"/>
      <c r="H26" s="115"/>
      <c r="I26" s="159"/>
      <c r="J26" s="159"/>
      <c r="K26" s="159"/>
      <c r="L26" s="159"/>
      <c r="M26" s="159"/>
      <c r="N26" s="159"/>
      <c r="O26" s="182">
        <f t="shared" si="0"/>
        <v>39338.8</v>
      </c>
      <c r="P26" s="158"/>
      <c r="Q26" s="229" t="s">
        <v>910</v>
      </c>
      <c r="R26" s="218"/>
      <c r="S26" s="218"/>
      <c r="T26" s="230" t="s">
        <v>720</v>
      </c>
      <c r="U26" s="218"/>
      <c r="V26" s="218"/>
      <c r="W26" s="218"/>
      <c r="X26" s="231">
        <v>1804.18</v>
      </c>
      <c r="Y26" s="270">
        <v>343.64</v>
      </c>
      <c r="Z26" s="270"/>
      <c r="AA26" s="270"/>
      <c r="AB26" s="231">
        <v>0</v>
      </c>
      <c r="AC26" s="231">
        <v>343.64</v>
      </c>
      <c r="AD26" s="231">
        <v>2147.82</v>
      </c>
    </row>
    <row r="27" spans="1:30" ht="12" customHeight="1">
      <c r="A27" s="115"/>
      <c r="B27" s="123" t="s">
        <v>911</v>
      </c>
      <c r="C27" s="115"/>
      <c r="D27" s="115"/>
      <c r="E27" s="123" t="s">
        <v>759</v>
      </c>
      <c r="F27" s="115"/>
      <c r="G27" s="115"/>
      <c r="H27" s="115"/>
      <c r="I27" s="152">
        <v>6620.32</v>
      </c>
      <c r="J27" s="260">
        <v>0</v>
      </c>
      <c r="K27" s="260"/>
      <c r="L27" s="260"/>
      <c r="M27" s="152">
        <v>0</v>
      </c>
      <c r="N27" s="152">
        <v>0</v>
      </c>
      <c r="O27" s="182">
        <f t="shared" si="0"/>
        <v>68564.07</v>
      </c>
      <c r="P27" s="158"/>
      <c r="Q27" s="229" t="s">
        <v>969</v>
      </c>
      <c r="R27" s="218"/>
      <c r="S27" s="218"/>
      <c r="T27" s="230" t="s">
        <v>970</v>
      </c>
      <c r="U27" s="218"/>
      <c r="V27" s="218"/>
      <c r="W27" s="218"/>
      <c r="X27" s="231">
        <v>39338.8</v>
      </c>
      <c r="Y27" s="270">
        <v>0</v>
      </c>
      <c r="Z27" s="270"/>
      <c r="AA27" s="270"/>
      <c r="AB27" s="231">
        <v>0</v>
      </c>
      <c r="AC27" s="231">
        <v>0</v>
      </c>
      <c r="AD27" s="231">
        <v>39338.8</v>
      </c>
    </row>
    <row r="28" spans="1:30" ht="12" customHeight="1">
      <c r="A28" s="115"/>
      <c r="B28" s="123">
        <v>563612</v>
      </c>
      <c r="C28" s="115"/>
      <c r="D28" s="115"/>
      <c r="E28" s="123" t="s">
        <v>979</v>
      </c>
      <c r="F28" s="115"/>
      <c r="G28" s="115"/>
      <c r="H28" s="115"/>
      <c r="I28" s="160"/>
      <c r="J28" s="160"/>
      <c r="K28" s="160"/>
      <c r="L28" s="160"/>
      <c r="M28" s="160"/>
      <c r="N28" s="160"/>
      <c r="O28" s="182">
        <f t="shared" si="0"/>
        <v>0</v>
      </c>
      <c r="P28" s="158"/>
      <c r="Q28" s="229" t="s">
        <v>911</v>
      </c>
      <c r="R28" s="218"/>
      <c r="S28" s="218"/>
      <c r="T28" s="230" t="s">
        <v>759</v>
      </c>
      <c r="U28" s="218"/>
      <c r="V28" s="218"/>
      <c r="W28" s="218"/>
      <c r="X28" s="231">
        <v>47079.83</v>
      </c>
      <c r="Y28" s="270">
        <v>21484.24</v>
      </c>
      <c r="Z28" s="270"/>
      <c r="AA28" s="270"/>
      <c r="AB28" s="231">
        <v>0</v>
      </c>
      <c r="AC28" s="231">
        <v>21484.24</v>
      </c>
      <c r="AD28" s="231">
        <v>68564.07</v>
      </c>
    </row>
    <row r="29" spans="1:30" ht="12" customHeight="1">
      <c r="A29" s="115"/>
      <c r="B29" s="123" t="s">
        <v>912</v>
      </c>
      <c r="C29" s="115"/>
      <c r="D29" s="115"/>
      <c r="E29" s="123" t="s">
        <v>760</v>
      </c>
      <c r="F29" s="115"/>
      <c r="G29" s="115"/>
      <c r="H29" s="115"/>
      <c r="I29" s="152">
        <v>6601.38</v>
      </c>
      <c r="J29" s="260">
        <v>270.25</v>
      </c>
      <c r="K29" s="260"/>
      <c r="L29" s="260"/>
      <c r="M29" s="152">
        <v>0</v>
      </c>
      <c r="N29" s="152">
        <v>270.25</v>
      </c>
      <c r="O29" s="182">
        <f t="shared" si="0"/>
        <v>15822.7</v>
      </c>
      <c r="P29" s="158"/>
      <c r="Q29" s="229" t="s">
        <v>978</v>
      </c>
      <c r="R29" s="218"/>
      <c r="S29" s="218"/>
      <c r="T29" s="230" t="s">
        <v>979</v>
      </c>
      <c r="U29" s="218"/>
      <c r="V29" s="218"/>
      <c r="W29" s="218"/>
      <c r="X29" s="231">
        <v>9426.12</v>
      </c>
      <c r="Y29" s="270">
        <v>-9426.12</v>
      </c>
      <c r="Z29" s="270"/>
      <c r="AA29" s="270"/>
      <c r="AB29" s="231">
        <v>0</v>
      </c>
      <c r="AC29" s="231">
        <v>-9426.12</v>
      </c>
      <c r="AD29" s="231">
        <v>0</v>
      </c>
    </row>
    <row r="30" spans="1:30" ht="12" customHeight="1">
      <c r="A30" s="115"/>
      <c r="B30" s="123" t="s">
        <v>913</v>
      </c>
      <c r="C30" s="115"/>
      <c r="D30" s="115"/>
      <c r="E30" s="123" t="s">
        <v>761</v>
      </c>
      <c r="F30" s="115"/>
      <c r="G30" s="115"/>
      <c r="H30" s="115"/>
      <c r="I30" s="152">
        <v>99024.6</v>
      </c>
      <c r="J30" s="260">
        <v>0</v>
      </c>
      <c r="K30" s="260"/>
      <c r="L30" s="260"/>
      <c r="M30" s="152">
        <v>0</v>
      </c>
      <c r="N30" s="152">
        <v>0</v>
      </c>
      <c r="O30" s="182">
        <f t="shared" si="0"/>
        <v>1083</v>
      </c>
      <c r="P30" s="158"/>
      <c r="Q30" s="229" t="s">
        <v>912</v>
      </c>
      <c r="R30" s="218"/>
      <c r="S30" s="218"/>
      <c r="T30" s="230" t="s">
        <v>760</v>
      </c>
      <c r="U30" s="218"/>
      <c r="V30" s="218"/>
      <c r="W30" s="218"/>
      <c r="X30" s="231">
        <v>5536.06</v>
      </c>
      <c r="Y30" s="270">
        <v>10286.64</v>
      </c>
      <c r="Z30" s="270"/>
      <c r="AA30" s="270"/>
      <c r="AB30" s="231">
        <v>0</v>
      </c>
      <c r="AC30" s="231">
        <v>10286.64</v>
      </c>
      <c r="AD30" s="231">
        <v>15822.7</v>
      </c>
    </row>
    <row r="31" spans="1:30" ht="12" customHeight="1">
      <c r="A31" s="115"/>
      <c r="B31" s="123" t="s">
        <v>971</v>
      </c>
      <c r="C31" s="115"/>
      <c r="D31" s="115"/>
      <c r="E31" s="123" t="s">
        <v>972</v>
      </c>
      <c r="F31" s="115"/>
      <c r="G31" s="115"/>
      <c r="H31" s="115"/>
      <c r="I31" s="159"/>
      <c r="J31" s="159"/>
      <c r="K31" s="159"/>
      <c r="L31" s="159"/>
      <c r="M31" s="159"/>
      <c r="N31" s="159"/>
      <c r="O31" s="182">
        <f>0</f>
        <v>0</v>
      </c>
      <c r="P31" s="158"/>
      <c r="Q31" s="229" t="s">
        <v>913</v>
      </c>
      <c r="R31" s="218"/>
      <c r="S31" s="218"/>
      <c r="T31" s="230" t="s">
        <v>761</v>
      </c>
      <c r="U31" s="218"/>
      <c r="V31" s="218"/>
      <c r="W31" s="218"/>
      <c r="X31" s="231">
        <v>364</v>
      </c>
      <c r="Y31" s="270">
        <v>719</v>
      </c>
      <c r="Z31" s="270"/>
      <c r="AA31" s="270"/>
      <c r="AB31" s="231">
        <v>0</v>
      </c>
      <c r="AC31" s="231">
        <v>719</v>
      </c>
      <c r="AD31" s="231">
        <v>1083</v>
      </c>
    </row>
    <row r="32" spans="1:30" ht="12" customHeight="1">
      <c r="A32" s="115"/>
      <c r="B32" s="123" t="s">
        <v>914</v>
      </c>
      <c r="C32" s="115"/>
      <c r="D32" s="115"/>
      <c r="E32" s="123" t="s">
        <v>762</v>
      </c>
      <c r="F32" s="115"/>
      <c r="G32" s="115"/>
      <c r="H32" s="115"/>
      <c r="I32" s="152">
        <v>76916.84</v>
      </c>
      <c r="J32" s="260">
        <v>39278.63</v>
      </c>
      <c r="K32" s="260"/>
      <c r="L32" s="260"/>
      <c r="M32" s="152">
        <v>0</v>
      </c>
      <c r="N32" s="152">
        <v>39278.63</v>
      </c>
      <c r="O32" s="182">
        <v>0</v>
      </c>
      <c r="P32" s="158"/>
      <c r="Q32" s="229" t="s">
        <v>915</v>
      </c>
      <c r="R32" s="218"/>
      <c r="S32" s="218"/>
      <c r="T32" s="230" t="s">
        <v>763</v>
      </c>
      <c r="U32" s="218"/>
      <c r="V32" s="218"/>
      <c r="W32" s="218"/>
      <c r="X32" s="231">
        <v>599</v>
      </c>
      <c r="Y32" s="270">
        <v>0</v>
      </c>
      <c r="Z32" s="270"/>
      <c r="AA32" s="270"/>
      <c r="AB32" s="231">
        <v>0</v>
      </c>
      <c r="AC32" s="231">
        <v>0</v>
      </c>
      <c r="AD32" s="231">
        <v>599</v>
      </c>
    </row>
    <row r="33" spans="1:30" ht="12" customHeight="1">
      <c r="A33" s="115"/>
      <c r="B33" s="123" t="s">
        <v>915</v>
      </c>
      <c r="C33" s="115"/>
      <c r="D33" s="115"/>
      <c r="E33" s="123" t="s">
        <v>763</v>
      </c>
      <c r="F33" s="115"/>
      <c r="G33" s="115"/>
      <c r="H33" s="115"/>
      <c r="I33" s="152">
        <v>6600.76</v>
      </c>
      <c r="J33" s="260">
        <v>3659.25</v>
      </c>
      <c r="K33" s="260"/>
      <c r="L33" s="260"/>
      <c r="M33" s="152">
        <v>0</v>
      </c>
      <c r="N33" s="152">
        <v>3659.25</v>
      </c>
      <c r="O33" s="182">
        <f>AD32</f>
        <v>599</v>
      </c>
      <c r="P33" s="158"/>
      <c r="Q33" s="229" t="s">
        <v>918</v>
      </c>
      <c r="R33" s="218"/>
      <c r="S33" s="218"/>
      <c r="T33" s="230" t="s">
        <v>721</v>
      </c>
      <c r="U33" s="218"/>
      <c r="V33" s="218"/>
      <c r="W33" s="218"/>
      <c r="X33" s="231">
        <v>55540.9</v>
      </c>
      <c r="Y33" s="270">
        <v>25225.94</v>
      </c>
      <c r="Z33" s="270"/>
      <c r="AA33" s="270"/>
      <c r="AB33" s="231">
        <v>0</v>
      </c>
      <c r="AC33" s="231">
        <v>25225.94</v>
      </c>
      <c r="AD33" s="231">
        <v>80766.84</v>
      </c>
    </row>
    <row r="34" spans="1:30" ht="12" customHeight="1">
      <c r="A34" s="115"/>
      <c r="B34" s="123" t="s">
        <v>916</v>
      </c>
      <c r="C34" s="115"/>
      <c r="D34" s="115"/>
      <c r="E34" s="123" t="s">
        <v>917</v>
      </c>
      <c r="F34" s="115"/>
      <c r="G34" s="115"/>
      <c r="H34" s="115"/>
      <c r="I34" s="152">
        <v>2827</v>
      </c>
      <c r="J34" s="260">
        <v>747</v>
      </c>
      <c r="K34" s="260"/>
      <c r="L34" s="260"/>
      <c r="M34" s="152">
        <v>0</v>
      </c>
      <c r="N34" s="152">
        <v>747</v>
      </c>
      <c r="O34" s="182">
        <f>0</f>
        <v>0</v>
      </c>
      <c r="P34" s="158"/>
      <c r="Q34" s="229" t="s">
        <v>919</v>
      </c>
      <c r="R34" s="218"/>
      <c r="S34" s="218"/>
      <c r="T34" s="230" t="s">
        <v>764</v>
      </c>
      <c r="U34" s="218"/>
      <c r="V34" s="218"/>
      <c r="W34" s="218"/>
      <c r="X34" s="231">
        <v>58522.5</v>
      </c>
      <c r="Y34" s="270">
        <v>239152.5</v>
      </c>
      <c r="Z34" s="270"/>
      <c r="AA34" s="270"/>
      <c r="AB34" s="231">
        <v>0</v>
      </c>
      <c r="AC34" s="231">
        <v>239152.5</v>
      </c>
      <c r="AD34" s="231">
        <v>297675</v>
      </c>
    </row>
    <row r="35" spans="1:30" ht="12" customHeight="1">
      <c r="A35" s="115"/>
      <c r="B35" s="123" t="s">
        <v>918</v>
      </c>
      <c r="C35" s="115"/>
      <c r="D35" s="115"/>
      <c r="E35" s="123" t="s">
        <v>721</v>
      </c>
      <c r="F35" s="115"/>
      <c r="G35" s="115"/>
      <c r="H35" s="115"/>
      <c r="I35" s="152">
        <v>9769.66</v>
      </c>
      <c r="J35" s="260">
        <v>0</v>
      </c>
      <c r="K35" s="260"/>
      <c r="L35" s="260"/>
      <c r="M35" s="152">
        <v>0</v>
      </c>
      <c r="N35" s="152">
        <v>0</v>
      </c>
      <c r="O35" s="182">
        <f>AD33</f>
        <v>80766.84</v>
      </c>
      <c r="P35" s="158"/>
      <c r="Q35" s="229" t="s">
        <v>920</v>
      </c>
      <c r="R35" s="218"/>
      <c r="S35" s="218"/>
      <c r="T35" s="230" t="s">
        <v>733</v>
      </c>
      <c r="U35" s="218"/>
      <c r="V35" s="218"/>
      <c r="W35" s="218"/>
      <c r="X35" s="231">
        <v>5006.58</v>
      </c>
      <c r="Y35" s="270">
        <v>0</v>
      </c>
      <c r="Z35" s="270"/>
      <c r="AA35" s="270"/>
      <c r="AB35" s="231">
        <v>0</v>
      </c>
      <c r="AC35" s="231">
        <v>0</v>
      </c>
      <c r="AD35" s="231">
        <v>5006.58</v>
      </c>
    </row>
    <row r="36" spans="1:30" ht="12" customHeight="1">
      <c r="A36" s="115"/>
      <c r="B36" s="123" t="s">
        <v>919</v>
      </c>
      <c r="C36" s="115"/>
      <c r="D36" s="115"/>
      <c r="E36" s="123" t="s">
        <v>764</v>
      </c>
      <c r="F36" s="115"/>
      <c r="G36" s="115"/>
      <c r="H36" s="115"/>
      <c r="I36" s="152">
        <v>29899.97</v>
      </c>
      <c r="J36" s="260">
        <v>0</v>
      </c>
      <c r="K36" s="260"/>
      <c r="L36" s="260"/>
      <c r="M36" s="152">
        <v>0</v>
      </c>
      <c r="N36" s="152">
        <v>0</v>
      </c>
      <c r="O36" s="182">
        <f>AD34</f>
        <v>297675</v>
      </c>
      <c r="P36" s="158"/>
      <c r="Q36" s="229" t="s">
        <v>1127</v>
      </c>
      <c r="R36" s="218"/>
      <c r="S36" s="218"/>
      <c r="T36" s="230" t="s">
        <v>986</v>
      </c>
      <c r="U36" s="218"/>
      <c r="V36" s="218"/>
      <c r="W36" s="218"/>
      <c r="X36" s="231">
        <v>0</v>
      </c>
      <c r="Y36" s="270">
        <v>12396</v>
      </c>
      <c r="Z36" s="270"/>
      <c r="AA36" s="270"/>
      <c r="AB36" s="231">
        <v>0</v>
      </c>
      <c r="AC36" s="231">
        <v>12396</v>
      </c>
      <c r="AD36" s="231">
        <v>12396</v>
      </c>
    </row>
    <row r="37" spans="1:30" ht="12" customHeight="1">
      <c r="A37" s="115"/>
      <c r="B37" s="123" t="s">
        <v>920</v>
      </c>
      <c r="C37" s="115"/>
      <c r="D37" s="115"/>
      <c r="E37" s="123" t="s">
        <v>733</v>
      </c>
      <c r="F37" s="115"/>
      <c r="G37" s="115"/>
      <c r="H37" s="115"/>
      <c r="I37" s="152">
        <v>10737</v>
      </c>
      <c r="J37" s="260">
        <v>2715</v>
      </c>
      <c r="K37" s="260"/>
      <c r="L37" s="260"/>
      <c r="M37" s="152">
        <v>0</v>
      </c>
      <c r="N37" s="152">
        <v>2715</v>
      </c>
      <c r="O37" s="182">
        <f>AD35</f>
        <v>5006.58</v>
      </c>
      <c r="P37" s="158"/>
      <c r="Q37" s="229" t="s">
        <v>921</v>
      </c>
      <c r="R37" s="218"/>
      <c r="S37" s="218"/>
      <c r="T37" s="230" t="s">
        <v>722</v>
      </c>
      <c r="U37" s="218"/>
      <c r="V37" s="218"/>
      <c r="W37" s="218"/>
      <c r="X37" s="231">
        <v>990243.88</v>
      </c>
      <c r="Y37" s="270">
        <v>495121.83</v>
      </c>
      <c r="Z37" s="270"/>
      <c r="AA37" s="270"/>
      <c r="AB37" s="231">
        <v>0</v>
      </c>
      <c r="AC37" s="231">
        <v>495121.83</v>
      </c>
      <c r="AD37" s="231">
        <v>1485365.71</v>
      </c>
    </row>
    <row r="38" spans="1:30" ht="12" customHeight="1">
      <c r="A38" s="115"/>
      <c r="B38" s="123">
        <v>563631</v>
      </c>
      <c r="C38" s="115"/>
      <c r="D38" s="115"/>
      <c r="E38" s="123" t="s">
        <v>986</v>
      </c>
      <c r="F38" s="115"/>
      <c r="G38" s="115"/>
      <c r="H38" s="115"/>
      <c r="I38" s="166"/>
      <c r="J38" s="166"/>
      <c r="K38" s="166"/>
      <c r="L38" s="166"/>
      <c r="M38" s="166"/>
      <c r="N38" s="166"/>
      <c r="O38" s="182">
        <f>AD36</f>
        <v>12396</v>
      </c>
      <c r="P38" s="158"/>
      <c r="Q38" s="229" t="s">
        <v>922</v>
      </c>
      <c r="R38" s="218"/>
      <c r="S38" s="218"/>
      <c r="T38" s="230" t="s">
        <v>765</v>
      </c>
      <c r="U38" s="218"/>
      <c r="V38" s="218"/>
      <c r="W38" s="218"/>
      <c r="X38" s="231">
        <v>102050.72</v>
      </c>
      <c r="Y38" s="270">
        <v>167170.06</v>
      </c>
      <c r="Z38" s="270"/>
      <c r="AA38" s="270"/>
      <c r="AB38" s="231">
        <v>0</v>
      </c>
      <c r="AC38" s="231">
        <v>167170.06</v>
      </c>
      <c r="AD38" s="231">
        <v>269220.78</v>
      </c>
    </row>
    <row r="39" spans="1:30" ht="12" customHeight="1">
      <c r="A39" s="115"/>
      <c r="B39" s="123" t="s">
        <v>973</v>
      </c>
      <c r="C39" s="115"/>
      <c r="D39" s="115"/>
      <c r="E39" s="123" t="s">
        <v>974</v>
      </c>
      <c r="F39" s="115"/>
      <c r="G39" s="115"/>
      <c r="H39" s="115"/>
      <c r="I39" s="159"/>
      <c r="J39" s="159"/>
      <c r="K39" s="159"/>
      <c r="L39" s="159"/>
      <c r="M39" s="159"/>
      <c r="N39" s="159"/>
      <c r="O39" s="182">
        <f>0</f>
        <v>0</v>
      </c>
      <c r="P39" s="158"/>
      <c r="Q39" s="229" t="s">
        <v>923</v>
      </c>
      <c r="R39" s="218"/>
      <c r="S39" s="218"/>
      <c r="T39" s="230" t="s">
        <v>723</v>
      </c>
      <c r="U39" s="218"/>
      <c r="V39" s="218"/>
      <c r="W39" s="218"/>
      <c r="X39" s="231">
        <v>2152.79</v>
      </c>
      <c r="Y39" s="270">
        <v>1522.79</v>
      </c>
      <c r="Z39" s="270"/>
      <c r="AA39" s="270"/>
      <c r="AB39" s="231">
        <v>0</v>
      </c>
      <c r="AC39" s="231">
        <v>1522.79</v>
      </c>
      <c r="AD39" s="231">
        <v>3675.58</v>
      </c>
    </row>
    <row r="40" spans="1:30" ht="12" customHeight="1">
      <c r="A40" s="115"/>
      <c r="B40" s="123" t="s">
        <v>921</v>
      </c>
      <c r="C40" s="115"/>
      <c r="D40" s="115"/>
      <c r="E40" s="123" t="s">
        <v>722</v>
      </c>
      <c r="F40" s="115"/>
      <c r="G40" s="115"/>
      <c r="H40" s="115"/>
      <c r="I40" s="157"/>
      <c r="J40" s="157"/>
      <c r="K40" s="157"/>
      <c r="L40" s="157"/>
      <c r="M40" s="157"/>
      <c r="N40" s="157"/>
      <c r="O40" s="182">
        <f aca="true" t="shared" si="1" ref="O40:O47">AD37</f>
        <v>1485365.71</v>
      </c>
      <c r="P40" s="168"/>
      <c r="Q40" s="229" t="s">
        <v>924</v>
      </c>
      <c r="R40" s="218"/>
      <c r="S40" s="218"/>
      <c r="T40" s="230" t="s">
        <v>766</v>
      </c>
      <c r="U40" s="218"/>
      <c r="V40" s="218"/>
      <c r="W40" s="218"/>
      <c r="X40" s="231">
        <v>223200</v>
      </c>
      <c r="Y40" s="270">
        <v>96000</v>
      </c>
      <c r="Z40" s="270"/>
      <c r="AA40" s="270"/>
      <c r="AB40" s="231">
        <v>0</v>
      </c>
      <c r="AC40" s="231">
        <v>96000</v>
      </c>
      <c r="AD40" s="231">
        <v>319200</v>
      </c>
    </row>
    <row r="41" spans="1:30" ht="12" customHeight="1">
      <c r="A41" s="115"/>
      <c r="B41" s="123" t="s">
        <v>922</v>
      </c>
      <c r="C41" s="115"/>
      <c r="D41" s="115"/>
      <c r="E41" s="123" t="s">
        <v>765</v>
      </c>
      <c r="F41" s="115"/>
      <c r="G41" s="115"/>
      <c r="H41" s="115"/>
      <c r="I41" s="152">
        <v>148230.27</v>
      </c>
      <c r="J41" s="260">
        <v>34526.9</v>
      </c>
      <c r="K41" s="260"/>
      <c r="L41" s="260"/>
      <c r="M41" s="152">
        <v>0</v>
      </c>
      <c r="N41" s="152">
        <v>34526.9</v>
      </c>
      <c r="O41" s="182">
        <f t="shared" si="1"/>
        <v>269220.78</v>
      </c>
      <c r="P41" s="168"/>
      <c r="Q41" s="229" t="s">
        <v>925</v>
      </c>
      <c r="R41" s="218"/>
      <c r="S41" s="218"/>
      <c r="T41" s="230" t="s">
        <v>724</v>
      </c>
      <c r="U41" s="218"/>
      <c r="V41" s="218"/>
      <c r="W41" s="218"/>
      <c r="X41" s="231">
        <v>15185.08</v>
      </c>
      <c r="Y41" s="270">
        <v>0</v>
      </c>
      <c r="Z41" s="270"/>
      <c r="AA41" s="270"/>
      <c r="AB41" s="231">
        <v>0</v>
      </c>
      <c r="AC41" s="231">
        <v>0</v>
      </c>
      <c r="AD41" s="231">
        <v>15185.08</v>
      </c>
    </row>
    <row r="42" spans="1:30" ht="12" customHeight="1">
      <c r="A42" s="115"/>
      <c r="B42" s="123" t="s">
        <v>923</v>
      </c>
      <c r="C42" s="115"/>
      <c r="D42" s="115"/>
      <c r="E42" s="123" t="s">
        <v>723</v>
      </c>
      <c r="F42" s="115"/>
      <c r="G42" s="115"/>
      <c r="H42" s="115"/>
      <c r="I42" s="152">
        <v>28800.62</v>
      </c>
      <c r="J42" s="260">
        <v>2580</v>
      </c>
      <c r="K42" s="260"/>
      <c r="L42" s="260"/>
      <c r="M42" s="152">
        <v>0</v>
      </c>
      <c r="N42" s="152">
        <v>2580</v>
      </c>
      <c r="O42" s="182">
        <f t="shared" si="1"/>
        <v>3675.58</v>
      </c>
      <c r="P42" s="168"/>
      <c r="Q42" s="229" t="s">
        <v>926</v>
      </c>
      <c r="R42" s="218"/>
      <c r="S42" s="218"/>
      <c r="T42" s="230" t="s">
        <v>852</v>
      </c>
      <c r="U42" s="218"/>
      <c r="V42" s="218"/>
      <c r="W42" s="218"/>
      <c r="X42" s="231">
        <v>90000</v>
      </c>
      <c r="Y42" s="270">
        <v>45000</v>
      </c>
      <c r="Z42" s="270"/>
      <c r="AA42" s="270"/>
      <c r="AB42" s="231">
        <v>0</v>
      </c>
      <c r="AC42" s="231">
        <v>45000</v>
      </c>
      <c r="AD42" s="231">
        <v>135000</v>
      </c>
    </row>
    <row r="43" spans="1:30" ht="12" customHeight="1">
      <c r="A43" s="115"/>
      <c r="B43" s="123" t="s">
        <v>924</v>
      </c>
      <c r="C43" s="115"/>
      <c r="D43" s="115"/>
      <c r="E43" s="123" t="s">
        <v>766</v>
      </c>
      <c r="F43" s="115"/>
      <c r="G43" s="115"/>
      <c r="H43" s="115"/>
      <c r="I43" s="152">
        <v>13644</v>
      </c>
      <c r="J43" s="260">
        <v>0</v>
      </c>
      <c r="K43" s="260"/>
      <c r="L43" s="260"/>
      <c r="M43" s="152">
        <v>0</v>
      </c>
      <c r="N43" s="152">
        <v>0</v>
      </c>
      <c r="O43" s="182">
        <f t="shared" si="1"/>
        <v>319200</v>
      </c>
      <c r="P43" s="168"/>
      <c r="Q43" s="229" t="s">
        <v>927</v>
      </c>
      <c r="R43" s="218"/>
      <c r="S43" s="218"/>
      <c r="T43" s="230" t="s">
        <v>725</v>
      </c>
      <c r="U43" s="218"/>
      <c r="V43" s="218"/>
      <c r="W43" s="218"/>
      <c r="X43" s="231">
        <v>8168.84</v>
      </c>
      <c r="Y43" s="270">
        <v>4276.07</v>
      </c>
      <c r="Z43" s="270"/>
      <c r="AA43" s="270"/>
      <c r="AB43" s="231">
        <v>0</v>
      </c>
      <c r="AC43" s="231">
        <v>4276.07</v>
      </c>
      <c r="AD43" s="231">
        <v>12444.91</v>
      </c>
    </row>
    <row r="44" spans="1:30" ht="12" customHeight="1">
      <c r="A44" s="115"/>
      <c r="B44" s="123" t="s">
        <v>925</v>
      </c>
      <c r="C44" s="115"/>
      <c r="D44" s="115"/>
      <c r="E44" s="123" t="s">
        <v>724</v>
      </c>
      <c r="F44" s="115"/>
      <c r="G44" s="115"/>
      <c r="H44" s="115"/>
      <c r="I44" s="152">
        <v>1995</v>
      </c>
      <c r="J44" s="260">
        <v>0</v>
      </c>
      <c r="K44" s="260"/>
      <c r="L44" s="260"/>
      <c r="M44" s="152">
        <v>0</v>
      </c>
      <c r="N44" s="152">
        <v>0</v>
      </c>
      <c r="O44" s="182">
        <f t="shared" si="1"/>
        <v>15185.08</v>
      </c>
      <c r="P44" s="168"/>
      <c r="Q44" s="229" t="s">
        <v>928</v>
      </c>
      <c r="R44" s="218"/>
      <c r="S44" s="218"/>
      <c r="T44" s="230" t="s">
        <v>726</v>
      </c>
      <c r="U44" s="218"/>
      <c r="V44" s="218"/>
      <c r="W44" s="218"/>
      <c r="X44" s="231">
        <v>31182.31</v>
      </c>
      <c r="Y44" s="270">
        <v>16595.29</v>
      </c>
      <c r="Z44" s="270"/>
      <c r="AA44" s="270"/>
      <c r="AB44" s="231">
        <v>0</v>
      </c>
      <c r="AC44" s="231">
        <v>16595.29</v>
      </c>
      <c r="AD44" s="231">
        <v>47777.6</v>
      </c>
    </row>
    <row r="45" spans="1:30" ht="12" customHeight="1">
      <c r="A45" s="115"/>
      <c r="B45" s="123" t="s">
        <v>926</v>
      </c>
      <c r="C45" s="115"/>
      <c r="D45" s="115"/>
      <c r="E45" s="123" t="s">
        <v>852</v>
      </c>
      <c r="F45" s="115"/>
      <c r="G45" s="115"/>
      <c r="H45" s="115"/>
      <c r="I45" s="152">
        <v>1264877.77</v>
      </c>
      <c r="J45" s="260">
        <v>464163.03</v>
      </c>
      <c r="K45" s="260"/>
      <c r="L45" s="260"/>
      <c r="M45" s="152">
        <v>0</v>
      </c>
      <c r="N45" s="152">
        <v>464163.03</v>
      </c>
      <c r="O45" s="182">
        <f t="shared" si="1"/>
        <v>135000</v>
      </c>
      <c r="P45" s="168"/>
      <c r="Q45" s="229" t="s">
        <v>929</v>
      </c>
      <c r="R45" s="218"/>
      <c r="S45" s="218"/>
      <c r="T45" s="230" t="s">
        <v>727</v>
      </c>
      <c r="U45" s="218"/>
      <c r="V45" s="218"/>
      <c r="W45" s="218"/>
      <c r="X45" s="231">
        <v>103500</v>
      </c>
      <c r="Y45" s="270">
        <v>45000</v>
      </c>
      <c r="Z45" s="270"/>
      <c r="AA45" s="270"/>
      <c r="AB45" s="231">
        <v>0</v>
      </c>
      <c r="AC45" s="231">
        <v>45000</v>
      </c>
      <c r="AD45" s="231">
        <v>148500</v>
      </c>
    </row>
    <row r="46" spans="1:30" ht="12" customHeight="1">
      <c r="A46" s="115"/>
      <c r="B46" s="123" t="s">
        <v>927</v>
      </c>
      <c r="C46" s="115"/>
      <c r="D46" s="115"/>
      <c r="E46" s="123" t="s">
        <v>725</v>
      </c>
      <c r="F46" s="115"/>
      <c r="G46" s="115"/>
      <c r="H46" s="115"/>
      <c r="I46" s="152">
        <v>231143.81</v>
      </c>
      <c r="J46" s="260">
        <v>97295.67</v>
      </c>
      <c r="K46" s="260"/>
      <c r="L46" s="260"/>
      <c r="M46" s="152">
        <v>0</v>
      </c>
      <c r="N46" s="152">
        <v>97295.67</v>
      </c>
      <c r="O46" s="182">
        <f t="shared" si="1"/>
        <v>12444.91</v>
      </c>
      <c r="P46" s="168"/>
      <c r="Q46" s="229" t="s">
        <v>930</v>
      </c>
      <c r="R46" s="218"/>
      <c r="S46" s="218"/>
      <c r="T46" s="230" t="s">
        <v>728</v>
      </c>
      <c r="U46" s="218"/>
      <c r="V46" s="218"/>
      <c r="W46" s="218"/>
      <c r="X46" s="231">
        <v>52858.67</v>
      </c>
      <c r="Y46" s="270">
        <v>23700</v>
      </c>
      <c r="Z46" s="270"/>
      <c r="AA46" s="270"/>
      <c r="AB46" s="231">
        <v>0</v>
      </c>
      <c r="AC46" s="231">
        <v>23700</v>
      </c>
      <c r="AD46" s="231">
        <v>76558.67</v>
      </c>
    </row>
    <row r="47" spans="1:30" ht="12" customHeight="1">
      <c r="A47" s="115"/>
      <c r="B47" s="123" t="s">
        <v>928</v>
      </c>
      <c r="C47" s="115"/>
      <c r="D47" s="115"/>
      <c r="E47" s="123" t="s">
        <v>726</v>
      </c>
      <c r="F47" s="115"/>
      <c r="G47" s="115"/>
      <c r="H47" s="115"/>
      <c r="I47" s="152">
        <v>10300.92</v>
      </c>
      <c r="J47" s="260">
        <v>1153</v>
      </c>
      <c r="K47" s="260"/>
      <c r="L47" s="260"/>
      <c r="M47" s="152">
        <v>0</v>
      </c>
      <c r="N47" s="152">
        <v>1153</v>
      </c>
      <c r="O47" s="182">
        <f t="shared" si="1"/>
        <v>47777.6</v>
      </c>
      <c r="P47" s="168"/>
      <c r="Q47" s="229" t="s">
        <v>931</v>
      </c>
      <c r="R47" s="218"/>
      <c r="S47" s="218"/>
      <c r="T47" s="230" t="s">
        <v>981</v>
      </c>
      <c r="U47" s="218"/>
      <c r="V47" s="218"/>
      <c r="W47" s="218"/>
      <c r="X47" s="231">
        <v>775758.75</v>
      </c>
      <c r="Y47" s="270">
        <v>146184.75</v>
      </c>
      <c r="Z47" s="270"/>
      <c r="AA47" s="270"/>
      <c r="AB47" s="231">
        <v>0</v>
      </c>
      <c r="AC47" s="231">
        <v>146184.75</v>
      </c>
      <c r="AD47" s="231">
        <v>921943.5</v>
      </c>
    </row>
    <row r="48" spans="1:30" ht="12" customHeight="1">
      <c r="A48" s="115"/>
      <c r="B48" s="173">
        <v>563649</v>
      </c>
      <c r="C48" s="115"/>
      <c r="D48" s="115"/>
      <c r="E48" s="123" t="s">
        <v>1112</v>
      </c>
      <c r="F48" s="115"/>
      <c r="G48" s="115"/>
      <c r="H48" s="115"/>
      <c r="I48" s="160"/>
      <c r="J48" s="160"/>
      <c r="K48" s="160"/>
      <c r="L48" s="160"/>
      <c r="M48" s="160"/>
      <c r="N48" s="160"/>
      <c r="O48" s="208">
        <f>AD49</f>
        <v>20466</v>
      </c>
      <c r="P48" s="168"/>
      <c r="Q48" s="229" t="s">
        <v>932</v>
      </c>
      <c r="R48" s="218"/>
      <c r="S48" s="218"/>
      <c r="T48" s="230" t="s">
        <v>730</v>
      </c>
      <c r="U48" s="218"/>
      <c r="V48" s="218"/>
      <c r="W48" s="218"/>
      <c r="X48" s="231">
        <v>4500</v>
      </c>
      <c r="Y48" s="270">
        <v>0</v>
      </c>
      <c r="Z48" s="270"/>
      <c r="AA48" s="270"/>
      <c r="AB48" s="231">
        <v>0</v>
      </c>
      <c r="AC48" s="231">
        <v>0</v>
      </c>
      <c r="AD48" s="231">
        <v>4500</v>
      </c>
    </row>
    <row r="49" spans="1:30" ht="12" customHeight="1">
      <c r="A49" s="115"/>
      <c r="B49" s="123" t="s">
        <v>929</v>
      </c>
      <c r="C49" s="115"/>
      <c r="D49" s="115"/>
      <c r="E49" s="123" t="s">
        <v>727</v>
      </c>
      <c r="F49" s="115"/>
      <c r="G49" s="115"/>
      <c r="H49" s="115"/>
      <c r="I49" s="152">
        <v>160000</v>
      </c>
      <c r="J49" s="260">
        <v>96000</v>
      </c>
      <c r="K49" s="260"/>
      <c r="L49" s="260"/>
      <c r="M49" s="152">
        <v>0</v>
      </c>
      <c r="N49" s="152">
        <v>96000</v>
      </c>
      <c r="O49" s="182">
        <f>AD45</f>
        <v>148500</v>
      </c>
      <c r="P49" s="168"/>
      <c r="Q49" s="229" t="s">
        <v>1111</v>
      </c>
      <c r="R49" s="218"/>
      <c r="S49" s="218"/>
      <c r="T49" s="230" t="s">
        <v>1112</v>
      </c>
      <c r="U49" s="218"/>
      <c r="V49" s="218"/>
      <c r="W49" s="218"/>
      <c r="X49" s="231">
        <v>20466</v>
      </c>
      <c r="Y49" s="270">
        <v>0</v>
      </c>
      <c r="Z49" s="270"/>
      <c r="AA49" s="270"/>
      <c r="AB49" s="231">
        <v>0</v>
      </c>
      <c r="AC49" s="231">
        <v>0</v>
      </c>
      <c r="AD49" s="231">
        <v>20466</v>
      </c>
    </row>
    <row r="50" spans="1:30" ht="12" customHeight="1">
      <c r="A50" s="115"/>
      <c r="B50" s="123" t="s">
        <v>930</v>
      </c>
      <c r="C50" s="115"/>
      <c r="D50" s="115"/>
      <c r="E50" s="123" t="s">
        <v>728</v>
      </c>
      <c r="F50" s="115"/>
      <c r="G50" s="115"/>
      <c r="H50" s="115"/>
      <c r="I50" s="152">
        <v>35465.57</v>
      </c>
      <c r="J50" s="260">
        <v>10900.91</v>
      </c>
      <c r="K50" s="260"/>
      <c r="L50" s="260"/>
      <c r="M50" s="152">
        <v>0</v>
      </c>
      <c r="N50" s="152">
        <v>10900.91</v>
      </c>
      <c r="O50" s="182">
        <f>AD46</f>
        <v>76558.67</v>
      </c>
      <c r="P50" s="168"/>
      <c r="Q50" s="229" t="s">
        <v>933</v>
      </c>
      <c r="R50" s="218"/>
      <c r="S50" s="218"/>
      <c r="T50" s="230" t="s">
        <v>731</v>
      </c>
      <c r="U50" s="218"/>
      <c r="V50" s="218"/>
      <c r="W50" s="218"/>
      <c r="X50" s="231">
        <v>30000</v>
      </c>
      <c r="Y50" s="270">
        <v>25350</v>
      </c>
      <c r="Z50" s="270"/>
      <c r="AA50" s="270"/>
      <c r="AB50" s="231">
        <v>0</v>
      </c>
      <c r="AC50" s="231">
        <v>25350</v>
      </c>
      <c r="AD50" s="231">
        <v>55350</v>
      </c>
    </row>
    <row r="51" spans="1:30" ht="12" customHeight="1">
      <c r="A51" s="115"/>
      <c r="B51" s="123" t="s">
        <v>931</v>
      </c>
      <c r="C51" s="115"/>
      <c r="D51" s="115"/>
      <c r="E51" s="123" t="s">
        <v>729</v>
      </c>
      <c r="F51" s="115"/>
      <c r="G51" s="115"/>
      <c r="H51" s="115"/>
      <c r="I51" s="152">
        <v>0</v>
      </c>
      <c r="J51" s="260">
        <v>48000</v>
      </c>
      <c r="K51" s="260"/>
      <c r="L51" s="260"/>
      <c r="M51" s="152">
        <v>0</v>
      </c>
      <c r="N51" s="152">
        <v>48000</v>
      </c>
      <c r="O51" s="182">
        <f>AD47</f>
        <v>921943.5</v>
      </c>
      <c r="P51" s="168"/>
      <c r="Q51" s="229" t="s">
        <v>934</v>
      </c>
      <c r="R51" s="218"/>
      <c r="S51" s="218"/>
      <c r="T51" s="230" t="s">
        <v>767</v>
      </c>
      <c r="U51" s="218"/>
      <c r="V51" s="218"/>
      <c r="W51" s="218"/>
      <c r="X51" s="231">
        <v>38256</v>
      </c>
      <c r="Y51" s="270">
        <v>95420</v>
      </c>
      <c r="Z51" s="270"/>
      <c r="AA51" s="270"/>
      <c r="AB51" s="231">
        <v>0</v>
      </c>
      <c r="AC51" s="231">
        <v>95420</v>
      </c>
      <c r="AD51" s="231">
        <v>133676</v>
      </c>
    </row>
    <row r="52" spans="1:30" ht="12" customHeight="1">
      <c r="A52" s="115"/>
      <c r="B52" s="123" t="s">
        <v>932</v>
      </c>
      <c r="C52" s="115"/>
      <c r="D52" s="115"/>
      <c r="E52" s="123" t="s">
        <v>730</v>
      </c>
      <c r="F52" s="115"/>
      <c r="G52" s="115"/>
      <c r="H52" s="115"/>
      <c r="I52" s="152">
        <v>18641.83</v>
      </c>
      <c r="J52" s="260">
        <v>8500.55</v>
      </c>
      <c r="K52" s="260"/>
      <c r="L52" s="260"/>
      <c r="M52" s="152">
        <v>0</v>
      </c>
      <c r="N52" s="152">
        <v>8500.55</v>
      </c>
      <c r="O52" s="182">
        <f>AD48</f>
        <v>4500</v>
      </c>
      <c r="P52" s="168"/>
      <c r="Q52" s="229" t="s">
        <v>935</v>
      </c>
      <c r="R52" s="218"/>
      <c r="S52" s="218"/>
      <c r="T52" s="230" t="s">
        <v>732</v>
      </c>
      <c r="U52" s="218"/>
      <c r="V52" s="218"/>
      <c r="W52" s="218"/>
      <c r="X52" s="231">
        <v>43726.85</v>
      </c>
      <c r="Y52" s="270">
        <v>7387.07</v>
      </c>
      <c r="Z52" s="270"/>
      <c r="AA52" s="270"/>
      <c r="AB52" s="231">
        <v>0</v>
      </c>
      <c r="AC52" s="231">
        <v>7387.07</v>
      </c>
      <c r="AD52" s="231">
        <v>51113.92</v>
      </c>
    </row>
    <row r="53" spans="1:30" ht="12.75" customHeight="1">
      <c r="A53" s="115"/>
      <c r="B53" s="123" t="s">
        <v>933</v>
      </c>
      <c r="C53" s="115"/>
      <c r="D53" s="115"/>
      <c r="E53" s="123" t="s">
        <v>731</v>
      </c>
      <c r="F53" s="115"/>
      <c r="G53" s="115"/>
      <c r="H53" s="115"/>
      <c r="I53" s="152">
        <v>64747.25</v>
      </c>
      <c r="J53" s="260">
        <v>26473.95</v>
      </c>
      <c r="K53" s="260"/>
      <c r="L53" s="260"/>
      <c r="M53" s="152">
        <v>0</v>
      </c>
      <c r="N53" s="152">
        <v>26473.95</v>
      </c>
      <c r="O53" s="182">
        <f aca="true" t="shared" si="2" ref="O53:O60">AD50</f>
        <v>55350</v>
      </c>
      <c r="P53" s="168"/>
      <c r="Q53" s="229" t="s">
        <v>936</v>
      </c>
      <c r="R53" s="218"/>
      <c r="S53" s="218"/>
      <c r="T53" s="230" t="s">
        <v>733</v>
      </c>
      <c r="U53" s="218"/>
      <c r="V53" s="218"/>
      <c r="W53" s="218"/>
      <c r="X53" s="231">
        <v>895291.74</v>
      </c>
      <c r="Y53" s="270">
        <v>355722.41</v>
      </c>
      <c r="Z53" s="270"/>
      <c r="AA53" s="270"/>
      <c r="AB53" s="231">
        <v>0</v>
      </c>
      <c r="AC53" s="231">
        <v>355722.41</v>
      </c>
      <c r="AD53" s="231">
        <v>1251014.15</v>
      </c>
    </row>
    <row r="54" spans="1:30" ht="12" customHeight="1">
      <c r="A54" s="115"/>
      <c r="B54" s="123" t="s">
        <v>934</v>
      </c>
      <c r="C54" s="115"/>
      <c r="D54" s="115"/>
      <c r="E54" s="123" t="s">
        <v>767</v>
      </c>
      <c r="F54" s="115"/>
      <c r="G54" s="115"/>
      <c r="H54" s="115"/>
      <c r="I54" s="152">
        <v>130950</v>
      </c>
      <c r="J54" s="260">
        <v>30000</v>
      </c>
      <c r="K54" s="260"/>
      <c r="L54" s="260"/>
      <c r="M54" s="152">
        <v>0</v>
      </c>
      <c r="N54" s="152">
        <v>30000</v>
      </c>
      <c r="O54" s="182">
        <f t="shared" si="2"/>
        <v>133676</v>
      </c>
      <c r="P54" s="168"/>
      <c r="Q54" s="229" t="s">
        <v>937</v>
      </c>
      <c r="R54" s="218"/>
      <c r="S54" s="218"/>
      <c r="T54" s="230" t="s">
        <v>768</v>
      </c>
      <c r="U54" s="218"/>
      <c r="V54" s="218"/>
      <c r="W54" s="218"/>
      <c r="X54" s="231">
        <v>340623.62</v>
      </c>
      <c r="Y54" s="270">
        <v>321342.98</v>
      </c>
      <c r="Z54" s="270"/>
      <c r="AA54" s="270"/>
      <c r="AB54" s="231">
        <v>0</v>
      </c>
      <c r="AC54" s="231">
        <v>321342.98</v>
      </c>
      <c r="AD54" s="231">
        <v>661966.6</v>
      </c>
    </row>
    <row r="55" spans="1:30" ht="12" customHeight="1">
      <c r="A55" s="115"/>
      <c r="B55" s="123" t="s">
        <v>935</v>
      </c>
      <c r="C55" s="115"/>
      <c r="D55" s="115"/>
      <c r="E55" s="123" t="s">
        <v>732</v>
      </c>
      <c r="F55" s="115"/>
      <c r="G55" s="115"/>
      <c r="H55" s="115"/>
      <c r="I55" s="152">
        <v>86706</v>
      </c>
      <c r="J55" s="260">
        <v>33995</v>
      </c>
      <c r="K55" s="260"/>
      <c r="L55" s="260"/>
      <c r="M55" s="152">
        <v>0</v>
      </c>
      <c r="N55" s="152">
        <v>33995</v>
      </c>
      <c r="O55" s="182">
        <f t="shared" si="2"/>
        <v>51113.92</v>
      </c>
      <c r="P55" s="168"/>
      <c r="Q55" s="229" t="s">
        <v>938</v>
      </c>
      <c r="R55" s="218"/>
      <c r="S55" s="218"/>
      <c r="T55" s="230" t="s">
        <v>734</v>
      </c>
      <c r="U55" s="218"/>
      <c r="V55" s="218"/>
      <c r="W55" s="218"/>
      <c r="X55" s="231">
        <v>432000</v>
      </c>
      <c r="Y55" s="270">
        <v>216000</v>
      </c>
      <c r="Z55" s="270"/>
      <c r="AA55" s="270"/>
      <c r="AB55" s="231">
        <v>0</v>
      </c>
      <c r="AC55" s="231">
        <v>216000</v>
      </c>
      <c r="AD55" s="231">
        <v>648000</v>
      </c>
    </row>
    <row r="56" spans="1:30" ht="12" customHeight="1">
      <c r="A56" s="115"/>
      <c r="B56" s="123" t="s">
        <v>936</v>
      </c>
      <c r="C56" s="115"/>
      <c r="D56" s="115"/>
      <c r="E56" s="123" t="s">
        <v>733</v>
      </c>
      <c r="F56" s="115"/>
      <c r="G56" s="115"/>
      <c r="H56" s="115"/>
      <c r="I56" s="152">
        <v>621687.78</v>
      </c>
      <c r="J56" s="260">
        <v>264411.14</v>
      </c>
      <c r="K56" s="260"/>
      <c r="L56" s="260"/>
      <c r="M56" s="152">
        <v>0</v>
      </c>
      <c r="N56" s="152">
        <v>264411.14</v>
      </c>
      <c r="O56" s="182">
        <f t="shared" si="2"/>
        <v>1251014.15</v>
      </c>
      <c r="P56" s="168"/>
      <c r="Q56" s="229" t="s">
        <v>982</v>
      </c>
      <c r="R56" s="218"/>
      <c r="S56" s="218"/>
      <c r="T56" s="230" t="s">
        <v>983</v>
      </c>
      <c r="U56" s="218"/>
      <c r="V56" s="218"/>
      <c r="W56" s="218"/>
      <c r="X56" s="231">
        <v>150000</v>
      </c>
      <c r="Y56" s="270">
        <v>75000</v>
      </c>
      <c r="Z56" s="270"/>
      <c r="AA56" s="270"/>
      <c r="AB56" s="231">
        <v>0</v>
      </c>
      <c r="AC56" s="231">
        <v>75000</v>
      </c>
      <c r="AD56" s="231">
        <v>225000</v>
      </c>
    </row>
    <row r="57" spans="1:30" ht="12" customHeight="1">
      <c r="A57" s="115"/>
      <c r="B57" s="173">
        <v>563655</v>
      </c>
      <c r="C57" s="115"/>
      <c r="D57" s="115"/>
      <c r="E57" s="123" t="str">
        <f>T52</f>
        <v>BU Servis vozidla</v>
      </c>
      <c r="F57" s="115"/>
      <c r="G57" s="115"/>
      <c r="H57" s="115"/>
      <c r="I57" s="152">
        <v>131485.32</v>
      </c>
      <c r="J57" s="260">
        <v>65669</v>
      </c>
      <c r="K57" s="260"/>
      <c r="L57" s="260"/>
      <c r="M57" s="152">
        <v>0</v>
      </c>
      <c r="N57" s="152">
        <v>65669</v>
      </c>
      <c r="O57" s="208">
        <f t="shared" si="2"/>
        <v>661966.6</v>
      </c>
      <c r="P57" s="168"/>
      <c r="Q57" s="229" t="s">
        <v>939</v>
      </c>
      <c r="R57" s="218"/>
      <c r="S57" s="218"/>
      <c r="T57" s="230" t="s">
        <v>735</v>
      </c>
      <c r="U57" s="218"/>
      <c r="V57" s="218"/>
      <c r="W57" s="218"/>
      <c r="X57" s="231">
        <v>123950</v>
      </c>
      <c r="Y57" s="270">
        <v>7500</v>
      </c>
      <c r="Z57" s="270"/>
      <c r="AA57" s="270"/>
      <c r="AB57" s="231">
        <v>0</v>
      </c>
      <c r="AC57" s="231">
        <v>7500</v>
      </c>
      <c r="AD57" s="231">
        <v>131450</v>
      </c>
    </row>
    <row r="58" spans="1:30" ht="12" customHeight="1">
      <c r="A58" s="115"/>
      <c r="B58" s="123" t="s">
        <v>938</v>
      </c>
      <c r="C58" s="115"/>
      <c r="D58" s="115"/>
      <c r="E58" s="123" t="s">
        <v>734</v>
      </c>
      <c r="F58" s="115"/>
      <c r="G58" s="115"/>
      <c r="H58" s="115"/>
      <c r="I58" s="152">
        <v>8950</v>
      </c>
      <c r="J58" s="260">
        <v>0</v>
      </c>
      <c r="K58" s="260"/>
      <c r="L58" s="260"/>
      <c r="M58" s="152">
        <v>0</v>
      </c>
      <c r="N58" s="152">
        <v>0</v>
      </c>
      <c r="O58" s="182">
        <f t="shared" si="2"/>
        <v>648000</v>
      </c>
      <c r="P58" s="168"/>
      <c r="Q58" s="229" t="s">
        <v>1123</v>
      </c>
      <c r="R58" s="218"/>
      <c r="S58" s="218"/>
      <c r="T58" s="230" t="s">
        <v>985</v>
      </c>
      <c r="U58" s="218"/>
      <c r="V58" s="218"/>
      <c r="W58" s="218"/>
      <c r="X58" s="231">
        <v>974.65</v>
      </c>
      <c r="Y58" s="270">
        <v>963.76</v>
      </c>
      <c r="Z58" s="270"/>
      <c r="AA58" s="270"/>
      <c r="AB58" s="231">
        <v>0</v>
      </c>
      <c r="AC58" s="231">
        <v>963.76</v>
      </c>
      <c r="AD58" s="231">
        <v>1938.41</v>
      </c>
    </row>
    <row r="59" spans="1:30" ht="12" customHeight="1">
      <c r="A59" s="115"/>
      <c r="B59" s="123">
        <v>563657</v>
      </c>
      <c r="C59" s="115"/>
      <c r="D59" s="115"/>
      <c r="E59" s="123" t="s">
        <v>983</v>
      </c>
      <c r="F59" s="115"/>
      <c r="G59" s="115"/>
      <c r="H59" s="115"/>
      <c r="I59" s="160"/>
      <c r="J59" s="160"/>
      <c r="K59" s="160"/>
      <c r="L59" s="160"/>
      <c r="M59" s="160"/>
      <c r="N59" s="160"/>
      <c r="O59" s="182">
        <f t="shared" si="2"/>
        <v>225000</v>
      </c>
      <c r="P59" s="168"/>
      <c r="Q59" s="229" t="s">
        <v>940</v>
      </c>
      <c r="R59" s="218"/>
      <c r="S59" s="218"/>
      <c r="T59" s="230" t="s">
        <v>1076</v>
      </c>
      <c r="U59" s="218"/>
      <c r="V59" s="218"/>
      <c r="W59" s="218"/>
      <c r="X59" s="231">
        <v>485122.69</v>
      </c>
      <c r="Y59" s="270">
        <v>272915.21</v>
      </c>
      <c r="Z59" s="270"/>
      <c r="AA59" s="270"/>
      <c r="AB59" s="231">
        <v>0</v>
      </c>
      <c r="AC59" s="231">
        <v>272915.21</v>
      </c>
      <c r="AD59" s="231">
        <v>758037.9</v>
      </c>
    </row>
    <row r="60" spans="1:30" ht="12" customHeight="1">
      <c r="A60" s="115"/>
      <c r="B60" s="123" t="s">
        <v>939</v>
      </c>
      <c r="C60" s="115"/>
      <c r="D60" s="115"/>
      <c r="E60" s="123" t="s">
        <v>735</v>
      </c>
      <c r="F60" s="115"/>
      <c r="G60" s="115"/>
      <c r="H60" s="115"/>
      <c r="I60" s="152">
        <v>6390</v>
      </c>
      <c r="J60" s="260">
        <v>0</v>
      </c>
      <c r="K60" s="260"/>
      <c r="L60" s="260"/>
      <c r="M60" s="152">
        <v>0</v>
      </c>
      <c r="N60" s="152">
        <v>0</v>
      </c>
      <c r="O60" s="182">
        <f t="shared" si="2"/>
        <v>131450</v>
      </c>
      <c r="P60" s="168"/>
      <c r="Q60" s="229" t="s">
        <v>941</v>
      </c>
      <c r="R60" s="218"/>
      <c r="S60" s="218"/>
      <c r="T60" s="230" t="s">
        <v>737</v>
      </c>
      <c r="U60" s="218"/>
      <c r="V60" s="218"/>
      <c r="W60" s="218"/>
      <c r="X60" s="231">
        <v>206092</v>
      </c>
      <c r="Y60" s="270">
        <v>4280</v>
      </c>
      <c r="Z60" s="270"/>
      <c r="AA60" s="270"/>
      <c r="AB60" s="231">
        <v>0</v>
      </c>
      <c r="AC60" s="231">
        <v>4280</v>
      </c>
      <c r="AD60" s="231">
        <v>210372</v>
      </c>
    </row>
    <row r="61" spans="1:30" ht="12.75" customHeight="1">
      <c r="A61" s="115"/>
      <c r="B61" s="123">
        <v>563659</v>
      </c>
      <c r="C61" s="115"/>
      <c r="D61" s="115"/>
      <c r="E61" s="123" t="s">
        <v>984</v>
      </c>
      <c r="F61" s="115"/>
      <c r="G61" s="115"/>
      <c r="H61" s="115"/>
      <c r="I61" s="160"/>
      <c r="J61" s="160"/>
      <c r="K61" s="160"/>
      <c r="L61" s="160"/>
      <c r="M61" s="160"/>
      <c r="N61" s="160"/>
      <c r="O61" s="182">
        <f>0</f>
        <v>0</v>
      </c>
      <c r="P61" s="168"/>
      <c r="Q61" s="229" t="s">
        <v>942</v>
      </c>
      <c r="R61" s="218"/>
      <c r="S61" s="218"/>
      <c r="T61" s="230" t="s">
        <v>738</v>
      </c>
      <c r="U61" s="218"/>
      <c r="V61" s="218"/>
      <c r="W61" s="218"/>
      <c r="X61" s="231">
        <v>65270.34</v>
      </c>
      <c r="Y61" s="270">
        <v>22654.67</v>
      </c>
      <c r="Z61" s="270"/>
      <c r="AA61" s="270"/>
      <c r="AB61" s="231">
        <v>0</v>
      </c>
      <c r="AC61" s="231">
        <v>22654.67</v>
      </c>
      <c r="AD61" s="231">
        <v>87925.01</v>
      </c>
    </row>
    <row r="62" spans="1:30" ht="12" customHeight="1">
      <c r="A62" s="115"/>
      <c r="B62" s="123">
        <v>563660</v>
      </c>
      <c r="C62" s="115"/>
      <c r="D62" s="115"/>
      <c r="E62" s="123" t="s">
        <v>985</v>
      </c>
      <c r="F62" s="115"/>
      <c r="G62" s="115"/>
      <c r="H62" s="115"/>
      <c r="I62" s="160"/>
      <c r="J62" s="160"/>
      <c r="K62" s="160"/>
      <c r="L62" s="160"/>
      <c r="M62" s="160"/>
      <c r="N62" s="160"/>
      <c r="O62" s="182">
        <f>AD58</f>
        <v>1938.41</v>
      </c>
      <c r="P62" s="168"/>
      <c r="Q62" s="229" t="s">
        <v>943</v>
      </c>
      <c r="R62" s="218"/>
      <c r="S62" s="218"/>
      <c r="T62" s="230" t="s">
        <v>739</v>
      </c>
      <c r="U62" s="218"/>
      <c r="V62" s="218"/>
      <c r="W62" s="218"/>
      <c r="X62" s="231">
        <v>230034</v>
      </c>
      <c r="Y62" s="270">
        <v>115017</v>
      </c>
      <c r="Z62" s="270"/>
      <c r="AA62" s="270"/>
      <c r="AB62" s="231">
        <v>0</v>
      </c>
      <c r="AC62" s="231">
        <v>115017</v>
      </c>
      <c r="AD62" s="231">
        <v>345051</v>
      </c>
    </row>
    <row r="63" spans="1:30" ht="12" customHeight="1">
      <c r="A63" s="115"/>
      <c r="B63" s="123" t="s">
        <v>940</v>
      </c>
      <c r="C63" s="115"/>
      <c r="D63" s="115"/>
      <c r="E63" s="123" t="s">
        <v>736</v>
      </c>
      <c r="F63" s="115"/>
      <c r="G63" s="115"/>
      <c r="H63" s="115"/>
      <c r="I63" s="152">
        <v>46476</v>
      </c>
      <c r="J63" s="260">
        <v>15000</v>
      </c>
      <c r="K63" s="260"/>
      <c r="L63" s="260"/>
      <c r="M63" s="152">
        <v>0</v>
      </c>
      <c r="N63" s="152">
        <v>15000</v>
      </c>
      <c r="O63" s="182">
        <f>AD59</f>
        <v>758037.9</v>
      </c>
      <c r="P63" s="168"/>
      <c r="Q63" s="229" t="s">
        <v>944</v>
      </c>
      <c r="R63" s="218"/>
      <c r="S63" s="218"/>
      <c r="T63" s="230" t="s">
        <v>740</v>
      </c>
      <c r="U63" s="218"/>
      <c r="V63" s="218"/>
      <c r="W63" s="218"/>
      <c r="X63" s="231">
        <v>203802</v>
      </c>
      <c r="Y63" s="270">
        <v>101901</v>
      </c>
      <c r="Z63" s="270"/>
      <c r="AA63" s="270"/>
      <c r="AB63" s="231">
        <v>0</v>
      </c>
      <c r="AC63" s="231">
        <v>101901</v>
      </c>
      <c r="AD63" s="231">
        <v>305703</v>
      </c>
    </row>
    <row r="64" spans="1:30" ht="12" customHeight="1">
      <c r="A64" s="115"/>
      <c r="B64" s="123" t="s">
        <v>941</v>
      </c>
      <c r="C64" s="115"/>
      <c r="D64" s="115"/>
      <c r="E64" s="123" t="s">
        <v>737</v>
      </c>
      <c r="F64" s="115"/>
      <c r="G64" s="115"/>
      <c r="H64" s="115"/>
      <c r="I64" s="152">
        <v>92075.72</v>
      </c>
      <c r="J64" s="260">
        <v>3869</v>
      </c>
      <c r="K64" s="260"/>
      <c r="L64" s="260"/>
      <c r="M64" s="152">
        <v>0</v>
      </c>
      <c r="N64" s="152">
        <v>3869</v>
      </c>
      <c r="O64" s="182">
        <f>AD60</f>
        <v>210372</v>
      </c>
      <c r="P64" s="168"/>
      <c r="Q64" s="229" t="s">
        <v>1073</v>
      </c>
      <c r="R64" s="218"/>
      <c r="S64" s="218"/>
      <c r="T64" s="230" t="s">
        <v>1074</v>
      </c>
      <c r="U64" s="218"/>
      <c r="V64" s="218"/>
      <c r="W64" s="218"/>
      <c r="X64" s="231">
        <v>-93000</v>
      </c>
      <c r="Y64" s="270">
        <v>70000</v>
      </c>
      <c r="Z64" s="270"/>
      <c r="AA64" s="270"/>
      <c r="AB64" s="231">
        <v>0</v>
      </c>
      <c r="AC64" s="231">
        <v>70000</v>
      </c>
      <c r="AD64" s="231">
        <v>-23000</v>
      </c>
    </row>
    <row r="65" spans="1:30" ht="12" customHeight="1">
      <c r="A65" s="115"/>
      <c r="B65" s="123" t="s">
        <v>942</v>
      </c>
      <c r="C65" s="115"/>
      <c r="D65" s="115"/>
      <c r="E65" s="123" t="s">
        <v>738</v>
      </c>
      <c r="F65" s="115"/>
      <c r="G65" s="115"/>
      <c r="H65" s="115"/>
      <c r="I65" s="152">
        <v>42489.11</v>
      </c>
      <c r="J65" s="260">
        <v>4956.31</v>
      </c>
      <c r="K65" s="260"/>
      <c r="L65" s="260"/>
      <c r="M65" s="152">
        <v>0</v>
      </c>
      <c r="N65" s="152">
        <v>4956.31</v>
      </c>
      <c r="O65" s="182">
        <f>AD61</f>
        <v>87925.01</v>
      </c>
      <c r="P65" s="168"/>
      <c r="Q65" s="229" t="s">
        <v>1089</v>
      </c>
      <c r="R65" s="218"/>
      <c r="S65" s="218"/>
      <c r="T65" s="230" t="s">
        <v>975</v>
      </c>
      <c r="U65" s="218"/>
      <c r="V65" s="218"/>
      <c r="W65" s="218"/>
      <c r="X65" s="231">
        <v>350000</v>
      </c>
      <c r="Y65" s="271">
        <v>0</v>
      </c>
      <c r="Z65" s="271"/>
      <c r="AA65" s="271"/>
      <c r="AB65" s="231">
        <v>0</v>
      </c>
      <c r="AC65" s="231">
        <v>0</v>
      </c>
      <c r="AD65" s="231">
        <v>350000</v>
      </c>
    </row>
    <row r="66" spans="1:30" ht="12" customHeight="1">
      <c r="A66" s="115"/>
      <c r="B66" s="123">
        <v>563665</v>
      </c>
      <c r="C66" s="115"/>
      <c r="D66" s="115"/>
      <c r="E66" s="123" t="s">
        <v>987</v>
      </c>
      <c r="F66" s="115"/>
      <c r="G66" s="115"/>
      <c r="H66" s="115"/>
      <c r="I66" s="166"/>
      <c r="J66" s="166"/>
      <c r="K66" s="166"/>
      <c r="L66" s="166"/>
      <c r="M66" s="166"/>
      <c r="N66" s="166"/>
      <c r="O66" s="182">
        <f>0</f>
        <v>0</v>
      </c>
      <c r="P66" s="168"/>
      <c r="Q66" s="224" t="s">
        <v>741</v>
      </c>
      <c r="R66" s="218"/>
      <c r="S66" s="224" t="s">
        <v>742</v>
      </c>
      <c r="T66" s="218"/>
      <c r="U66" s="218"/>
      <c r="V66" s="218"/>
      <c r="W66" s="218"/>
      <c r="X66" s="232">
        <v>7643983.12</v>
      </c>
      <c r="Y66" s="269">
        <v>3587965.84</v>
      </c>
      <c r="Z66" s="269"/>
      <c r="AA66" s="269"/>
      <c r="AB66" s="232">
        <v>0</v>
      </c>
      <c r="AC66" s="232">
        <v>3587965.84</v>
      </c>
      <c r="AD66" s="232">
        <v>11231948.96</v>
      </c>
    </row>
    <row r="67" spans="1:30" ht="12" customHeight="1">
      <c r="A67" s="115"/>
      <c r="B67" s="123" t="s">
        <v>943</v>
      </c>
      <c r="C67" s="115"/>
      <c r="D67" s="115"/>
      <c r="E67" s="123" t="s">
        <v>739</v>
      </c>
      <c r="F67" s="115"/>
      <c r="G67" s="115"/>
      <c r="H67" s="115"/>
      <c r="I67" s="152">
        <v>530014.69</v>
      </c>
      <c r="J67" s="260">
        <v>102162.02</v>
      </c>
      <c r="K67" s="260"/>
      <c r="L67" s="260"/>
      <c r="M67" s="152">
        <v>0</v>
      </c>
      <c r="N67" s="152">
        <v>102162.02</v>
      </c>
      <c r="O67" s="182">
        <f>AD62</f>
        <v>345051</v>
      </c>
      <c r="P67" s="16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</row>
    <row r="68" spans="1:30" ht="19.5" customHeight="1">
      <c r="A68" s="115"/>
      <c r="B68" s="123" t="s">
        <v>944</v>
      </c>
      <c r="C68" s="115"/>
      <c r="D68" s="115"/>
      <c r="E68" s="123" t="s">
        <v>740</v>
      </c>
      <c r="F68" s="115"/>
      <c r="G68" s="115"/>
      <c r="H68" s="115"/>
      <c r="I68" s="152">
        <v>412200</v>
      </c>
      <c r="J68" s="260">
        <v>40000</v>
      </c>
      <c r="K68" s="260"/>
      <c r="L68" s="260"/>
      <c r="M68" s="152">
        <v>0</v>
      </c>
      <c r="N68" s="152">
        <v>40000</v>
      </c>
      <c r="O68" s="182">
        <f>AD63</f>
        <v>305703</v>
      </c>
      <c r="P68" s="168"/>
      <c r="Q68" s="229" t="s">
        <v>960</v>
      </c>
      <c r="R68" s="218"/>
      <c r="S68" s="218"/>
      <c r="T68" s="230" t="s">
        <v>743</v>
      </c>
      <c r="U68" s="218"/>
      <c r="V68" s="218"/>
      <c r="W68" s="218"/>
      <c r="X68" s="231">
        <v>22595.71</v>
      </c>
      <c r="Y68" s="270">
        <v>12104.16</v>
      </c>
      <c r="Z68" s="270"/>
      <c r="AA68" s="270"/>
      <c r="AB68" s="231">
        <v>0</v>
      </c>
      <c r="AC68" s="231">
        <v>12104.16</v>
      </c>
      <c r="AD68" s="231">
        <v>34699.87</v>
      </c>
    </row>
    <row r="69" spans="1:30" ht="19.5" customHeight="1">
      <c r="A69" s="115"/>
      <c r="B69" s="142" t="s">
        <v>1073</v>
      </c>
      <c r="C69" s="115"/>
      <c r="D69" s="115"/>
      <c r="E69" s="123" t="s">
        <v>1074</v>
      </c>
      <c r="F69" s="115"/>
      <c r="G69" s="115"/>
      <c r="H69" s="115"/>
      <c r="I69" s="175"/>
      <c r="J69" s="175"/>
      <c r="K69" s="175"/>
      <c r="L69" s="175"/>
      <c r="M69" s="175"/>
      <c r="N69" s="175"/>
      <c r="O69" s="182">
        <f>AD64</f>
        <v>-23000</v>
      </c>
      <c r="P69" s="168"/>
      <c r="Q69" s="229" t="s">
        <v>1096</v>
      </c>
      <c r="R69" s="218"/>
      <c r="S69" s="218"/>
      <c r="T69" s="230" t="s">
        <v>958</v>
      </c>
      <c r="U69" s="218"/>
      <c r="V69" s="218"/>
      <c r="W69" s="218"/>
      <c r="X69" s="231">
        <v>117887.9</v>
      </c>
      <c r="Y69" s="271">
        <v>0</v>
      </c>
      <c r="Z69" s="271"/>
      <c r="AA69" s="271"/>
      <c r="AB69" s="231">
        <v>0</v>
      </c>
      <c r="AC69" s="231">
        <v>0</v>
      </c>
      <c r="AD69" s="231">
        <v>117887.9</v>
      </c>
    </row>
    <row r="70" spans="1:30" ht="17.25" customHeight="1">
      <c r="A70" s="115"/>
      <c r="B70" s="123">
        <v>566200</v>
      </c>
      <c r="C70" s="115"/>
      <c r="D70" s="115"/>
      <c r="E70" s="123" t="s">
        <v>1077</v>
      </c>
      <c r="F70" s="115"/>
      <c r="G70" s="115"/>
      <c r="H70" s="115"/>
      <c r="I70" s="166"/>
      <c r="J70" s="166"/>
      <c r="K70" s="166"/>
      <c r="L70" s="166"/>
      <c r="M70" s="166"/>
      <c r="N70" s="166"/>
      <c r="O70" s="182">
        <f>0</f>
        <v>0</v>
      </c>
      <c r="P70" s="168"/>
      <c r="Q70" s="224" t="s">
        <v>744</v>
      </c>
      <c r="R70" s="218"/>
      <c r="S70" s="224" t="s">
        <v>745</v>
      </c>
      <c r="T70" s="218"/>
      <c r="U70" s="218"/>
      <c r="V70" s="218"/>
      <c r="W70" s="218"/>
      <c r="X70" s="232">
        <v>140483.61</v>
      </c>
      <c r="Y70" s="269">
        <v>12104.16</v>
      </c>
      <c r="Z70" s="269"/>
      <c r="AA70" s="269"/>
      <c r="AB70" s="232">
        <v>0</v>
      </c>
      <c r="AC70" s="232">
        <v>12104.16</v>
      </c>
      <c r="AD70" s="232">
        <v>152587.77</v>
      </c>
    </row>
    <row r="71" spans="1:30" ht="15.75" customHeight="1">
      <c r="A71" s="115"/>
      <c r="B71" s="142" t="s">
        <v>1089</v>
      </c>
      <c r="C71" s="115"/>
      <c r="D71" s="115"/>
      <c r="E71" s="123" t="s">
        <v>975</v>
      </c>
      <c r="F71" s="115"/>
      <c r="G71" s="172">
        <v>0</v>
      </c>
      <c r="H71" s="260">
        <v>138014</v>
      </c>
      <c r="I71" s="260"/>
      <c r="J71" s="260"/>
      <c r="K71" s="172">
        <v>0</v>
      </c>
      <c r="L71" s="172">
        <v>138014</v>
      </c>
      <c r="M71" s="172">
        <v>138014</v>
      </c>
      <c r="N71" s="172"/>
      <c r="O71" s="182">
        <f>AD65</f>
        <v>350000</v>
      </c>
      <c r="P71" s="16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</row>
    <row r="72" spans="1:30" ht="18.75" customHeight="1">
      <c r="A72" s="115"/>
      <c r="B72" s="142" t="s">
        <v>1093</v>
      </c>
      <c r="C72" s="115"/>
      <c r="D72" s="115"/>
      <c r="E72" s="123" t="s">
        <v>1094</v>
      </c>
      <c r="F72" s="115"/>
      <c r="G72" s="190"/>
      <c r="H72" s="190"/>
      <c r="I72" s="190"/>
      <c r="J72" s="190"/>
      <c r="K72" s="190"/>
      <c r="L72" s="190"/>
      <c r="M72" s="190"/>
      <c r="N72" s="190"/>
      <c r="O72" s="190">
        <f>0</f>
        <v>0</v>
      </c>
      <c r="P72" s="168"/>
      <c r="Q72" s="229" t="s">
        <v>1113</v>
      </c>
      <c r="R72" s="218"/>
      <c r="S72" s="218"/>
      <c r="T72" s="230" t="s">
        <v>1114</v>
      </c>
      <c r="U72" s="218"/>
      <c r="V72" s="218"/>
      <c r="W72" s="218"/>
      <c r="X72" s="231">
        <v>262000</v>
      </c>
      <c r="Y72" s="271">
        <v>189000</v>
      </c>
      <c r="Z72" s="271"/>
      <c r="AA72" s="271"/>
      <c r="AB72" s="231">
        <v>0</v>
      </c>
      <c r="AC72" s="231">
        <v>189000</v>
      </c>
      <c r="AD72" s="231">
        <v>451000</v>
      </c>
    </row>
    <row r="73" spans="1:30" ht="18.75" customHeight="1">
      <c r="A73" s="115"/>
      <c r="B73" s="123" t="s">
        <v>945</v>
      </c>
      <c r="C73" s="115"/>
      <c r="D73" s="115"/>
      <c r="E73" s="123" t="s">
        <v>769</v>
      </c>
      <c r="F73" s="115"/>
      <c r="G73" s="115"/>
      <c r="H73" s="115"/>
      <c r="I73" s="152">
        <v>545000</v>
      </c>
      <c r="J73" s="260">
        <v>165000</v>
      </c>
      <c r="K73" s="260"/>
      <c r="L73" s="260"/>
      <c r="M73" s="152">
        <v>0</v>
      </c>
      <c r="N73" s="152">
        <v>165000</v>
      </c>
      <c r="O73" s="182">
        <f>AD72</f>
        <v>451000</v>
      </c>
      <c r="P73" s="168"/>
      <c r="Q73" s="224" t="s">
        <v>1115</v>
      </c>
      <c r="R73" s="218"/>
      <c r="S73" s="224" t="s">
        <v>1116</v>
      </c>
      <c r="T73" s="218"/>
      <c r="U73" s="218"/>
      <c r="V73" s="218"/>
      <c r="W73" s="218"/>
      <c r="X73" s="232">
        <v>262000</v>
      </c>
      <c r="Y73" s="269">
        <v>189000</v>
      </c>
      <c r="Z73" s="269"/>
      <c r="AA73" s="269"/>
      <c r="AB73" s="232">
        <v>0</v>
      </c>
      <c r="AC73" s="232">
        <v>189000</v>
      </c>
      <c r="AD73" s="232">
        <v>451000</v>
      </c>
    </row>
    <row r="74" spans="1:30" ht="21.75" customHeight="1" thickBot="1">
      <c r="A74" s="115"/>
      <c r="B74" s="123">
        <v>568200</v>
      </c>
      <c r="C74" s="115"/>
      <c r="D74" s="115"/>
      <c r="E74" s="123" t="s">
        <v>1095</v>
      </c>
      <c r="F74" s="115"/>
      <c r="G74" s="115"/>
      <c r="H74" s="115"/>
      <c r="I74" s="159"/>
      <c r="J74" s="159"/>
      <c r="K74" s="159"/>
      <c r="L74" s="159"/>
      <c r="M74" s="159"/>
      <c r="N74" s="159"/>
      <c r="O74" s="159">
        <f>AD77</f>
        <v>0</v>
      </c>
      <c r="P74" s="168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</row>
    <row r="75" spans="1:30" ht="18.75" customHeight="1">
      <c r="A75" s="115"/>
      <c r="B75" s="12" t="s">
        <v>741</v>
      </c>
      <c r="C75" s="115"/>
      <c r="D75" s="12" t="s">
        <v>742</v>
      </c>
      <c r="E75" s="115"/>
      <c r="F75" s="115"/>
      <c r="G75" s="115"/>
      <c r="H75" s="115"/>
      <c r="I75" s="153">
        <v>11254032.34</v>
      </c>
      <c r="J75" s="266">
        <v>4257670.28</v>
      </c>
      <c r="K75" s="266"/>
      <c r="L75" s="266"/>
      <c r="M75" s="153">
        <v>0</v>
      </c>
      <c r="N75" s="153">
        <v>4257670.28</v>
      </c>
      <c r="O75" s="153">
        <f>SUM(O14:O74)</f>
        <v>11682948.959999999</v>
      </c>
      <c r="P75" s="168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</row>
    <row r="76" spans="1:30" ht="12" customHeight="1" thickBot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58"/>
      <c r="Q76" s="226"/>
      <c r="R76" s="226"/>
      <c r="S76" s="234" t="s">
        <v>746</v>
      </c>
      <c r="T76" s="226"/>
      <c r="U76" s="226"/>
      <c r="V76" s="226"/>
      <c r="W76" s="226"/>
      <c r="X76" s="235">
        <v>8046466.73</v>
      </c>
      <c r="Y76" s="276">
        <v>3789070</v>
      </c>
      <c r="Z76" s="276"/>
      <c r="AA76" s="276"/>
      <c r="AB76" s="235">
        <v>0</v>
      </c>
      <c r="AC76" s="235">
        <v>3789070</v>
      </c>
      <c r="AD76" s="235">
        <v>11835536.73</v>
      </c>
    </row>
    <row r="77" spans="1:30" ht="12" customHeight="1">
      <c r="A77" s="115"/>
      <c r="B77" s="7" t="s">
        <v>847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264" t="s">
        <v>844</v>
      </c>
      <c r="O77" s="264"/>
      <c r="P77" s="158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</row>
    <row r="78" spans="1:30" ht="14.25" customHeight="1" thickBot="1">
      <c r="A78" s="115"/>
      <c r="B78" s="8" t="s">
        <v>271</v>
      </c>
      <c r="C78" s="9"/>
      <c r="D78" s="9"/>
      <c r="E78" s="9"/>
      <c r="F78" s="9"/>
      <c r="G78" s="9"/>
      <c r="H78" s="133" t="s">
        <v>272</v>
      </c>
      <c r="I78" s="9"/>
      <c r="J78" s="9"/>
      <c r="K78" s="133" t="s">
        <v>637</v>
      </c>
      <c r="L78" s="133" t="s">
        <v>849</v>
      </c>
      <c r="M78" s="9"/>
      <c r="N78" s="265" t="s">
        <v>273</v>
      </c>
      <c r="O78" s="265"/>
      <c r="P78" s="15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</row>
    <row r="79" spans="1:30" ht="12" customHeight="1" thickTop="1">
      <c r="A79" s="11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58"/>
      <c r="Q79" s="228" t="s">
        <v>747</v>
      </c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</row>
    <row r="80" spans="1:30" ht="12" customHeight="1">
      <c r="A80" s="115"/>
      <c r="B80" s="12" t="s">
        <v>274</v>
      </c>
      <c r="C80" s="115"/>
      <c r="D80" s="115"/>
      <c r="E80" s="115"/>
      <c r="F80" s="115"/>
      <c r="G80" s="115"/>
      <c r="H80" s="115"/>
      <c r="I80" s="154" t="s">
        <v>275</v>
      </c>
      <c r="J80" s="261" t="s">
        <v>276</v>
      </c>
      <c r="K80" s="261"/>
      <c r="L80" s="261"/>
      <c r="M80" s="154" t="s">
        <v>276</v>
      </c>
      <c r="N80" s="154" t="s">
        <v>277</v>
      </c>
      <c r="O80" s="154" t="s">
        <v>278</v>
      </c>
      <c r="P80" s="15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</row>
    <row r="81" spans="1:30" ht="12" customHeight="1">
      <c r="A81" s="115"/>
      <c r="B81" s="115"/>
      <c r="C81" s="115"/>
      <c r="D81" s="12" t="s">
        <v>279</v>
      </c>
      <c r="E81" s="115"/>
      <c r="F81" s="115"/>
      <c r="G81" s="115"/>
      <c r="H81" s="115"/>
      <c r="I81" s="154" t="s">
        <v>280</v>
      </c>
      <c r="J81" s="261" t="s">
        <v>281</v>
      </c>
      <c r="K81" s="261"/>
      <c r="L81" s="261"/>
      <c r="M81" s="154" t="s">
        <v>282</v>
      </c>
      <c r="N81" s="154" t="s">
        <v>283</v>
      </c>
      <c r="O81" s="154" t="s">
        <v>280</v>
      </c>
      <c r="P81" s="15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</row>
    <row r="82" spans="1:30" ht="12" customHeight="1" thickBot="1">
      <c r="A82" s="115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58"/>
      <c r="Q82" s="219" t="s">
        <v>847</v>
      </c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73" t="s">
        <v>844</v>
      </c>
      <c r="AD82" s="273"/>
    </row>
    <row r="83" spans="1:30" ht="12" customHeight="1" thickBot="1">
      <c r="A83" s="115"/>
      <c r="B83" s="124">
        <v>571630</v>
      </c>
      <c r="C83" s="14"/>
      <c r="D83" s="14"/>
      <c r="E83" s="124" t="s">
        <v>957</v>
      </c>
      <c r="F83" s="14"/>
      <c r="G83" s="14"/>
      <c r="H83" s="14"/>
      <c r="I83" s="155">
        <v>13064.58</v>
      </c>
      <c r="J83" s="263">
        <v>10677.78</v>
      </c>
      <c r="K83" s="263"/>
      <c r="L83" s="263"/>
      <c r="M83" s="155">
        <v>0</v>
      </c>
      <c r="N83" s="155">
        <v>10677.78</v>
      </c>
      <c r="O83" s="155">
        <v>0</v>
      </c>
      <c r="P83" s="158"/>
      <c r="Q83" s="220" t="s">
        <v>271</v>
      </c>
      <c r="R83" s="221"/>
      <c r="S83" s="221"/>
      <c r="T83" s="221"/>
      <c r="U83" s="221"/>
      <c r="V83" s="221"/>
      <c r="W83" s="222" t="s">
        <v>272</v>
      </c>
      <c r="X83" s="221"/>
      <c r="Y83" s="221"/>
      <c r="Z83" s="222" t="s">
        <v>1109</v>
      </c>
      <c r="AA83" s="222" t="s">
        <v>1124</v>
      </c>
      <c r="AB83" s="221"/>
      <c r="AC83" s="274" t="s">
        <v>273</v>
      </c>
      <c r="AD83" s="274"/>
    </row>
    <row r="84" spans="1:30" ht="12" customHeight="1" thickTop="1">
      <c r="A84" s="115"/>
      <c r="B84" s="123">
        <v>571640</v>
      </c>
      <c r="C84" s="115"/>
      <c r="D84" s="115"/>
      <c r="E84" s="123" t="s">
        <v>743</v>
      </c>
      <c r="F84" s="115"/>
      <c r="G84" s="115"/>
      <c r="H84" s="115"/>
      <c r="I84" s="152">
        <v>31144.4</v>
      </c>
      <c r="J84" s="260">
        <v>101764.78</v>
      </c>
      <c r="K84" s="260"/>
      <c r="L84" s="260"/>
      <c r="M84" s="152">
        <v>0</v>
      </c>
      <c r="N84" s="152">
        <v>101764.78</v>
      </c>
      <c r="O84" s="172">
        <f>AD68</f>
        <v>34699.87</v>
      </c>
      <c r="P84" s="158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12" customHeight="1">
      <c r="A85" s="115"/>
      <c r="B85" s="123">
        <v>571650</v>
      </c>
      <c r="C85" s="115"/>
      <c r="D85" s="115"/>
      <c r="E85" s="123" t="s">
        <v>958</v>
      </c>
      <c r="F85" s="115"/>
      <c r="G85" s="115"/>
      <c r="H85" s="115"/>
      <c r="I85" s="152">
        <v>8059.85</v>
      </c>
      <c r="J85" s="259">
        <v>580.75</v>
      </c>
      <c r="K85" s="259"/>
      <c r="L85" s="259"/>
      <c r="M85" s="152">
        <v>0</v>
      </c>
      <c r="N85" s="152">
        <v>580.75</v>
      </c>
      <c r="O85" s="172">
        <f>AD69</f>
        <v>117887.9</v>
      </c>
      <c r="P85" s="168"/>
      <c r="Q85" s="224" t="s">
        <v>274</v>
      </c>
      <c r="R85" s="218"/>
      <c r="S85" s="218"/>
      <c r="T85" s="218"/>
      <c r="U85" s="218"/>
      <c r="V85" s="218"/>
      <c r="W85" s="218"/>
      <c r="X85" s="225" t="s">
        <v>1084</v>
      </c>
      <c r="Y85" s="275" t="s">
        <v>1085</v>
      </c>
      <c r="Z85" s="275"/>
      <c r="AA85" s="275"/>
      <c r="AB85" s="225" t="s">
        <v>1086</v>
      </c>
      <c r="AC85" s="225" t="s">
        <v>1087</v>
      </c>
      <c r="AD85" s="225" t="s">
        <v>1088</v>
      </c>
    </row>
    <row r="86" spans="1:30" ht="12" customHeight="1">
      <c r="A86" s="115"/>
      <c r="B86" s="12" t="s">
        <v>744</v>
      </c>
      <c r="C86" s="115"/>
      <c r="D86" s="12" t="s">
        <v>745</v>
      </c>
      <c r="E86" s="115"/>
      <c r="F86" s="115"/>
      <c r="G86" s="115"/>
      <c r="H86" s="115"/>
      <c r="I86" s="153">
        <v>52268.83</v>
      </c>
      <c r="J86" s="266">
        <v>113023.31</v>
      </c>
      <c r="K86" s="266"/>
      <c r="L86" s="266"/>
      <c r="M86" s="153">
        <v>0</v>
      </c>
      <c r="N86" s="153">
        <v>113023.31</v>
      </c>
      <c r="O86" s="153">
        <f>SUM(O83:O85)</f>
        <v>152587.77</v>
      </c>
      <c r="P86" s="158"/>
      <c r="Q86" s="218"/>
      <c r="R86" s="218"/>
      <c r="S86" s="224" t="s">
        <v>279</v>
      </c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</row>
    <row r="87" spans="1:30" ht="12" customHeight="1" thickBot="1">
      <c r="A87" s="11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8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</row>
    <row r="88" spans="1:30" ht="15" customHeight="1">
      <c r="A88" s="1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68"/>
      <c r="Q88" s="236" t="s">
        <v>947</v>
      </c>
      <c r="R88" s="227"/>
      <c r="S88" s="227"/>
      <c r="T88" s="237" t="s">
        <v>748</v>
      </c>
      <c r="U88" s="227"/>
      <c r="V88" s="227"/>
      <c r="W88" s="227"/>
      <c r="X88" s="238">
        <v>4199.17</v>
      </c>
      <c r="Y88" s="277">
        <v>0</v>
      </c>
      <c r="Z88" s="277"/>
      <c r="AA88" s="277"/>
      <c r="AB88" s="238">
        <v>12261.56</v>
      </c>
      <c r="AC88" s="238">
        <v>12261.56</v>
      </c>
      <c r="AD88" s="238">
        <v>16460.73</v>
      </c>
    </row>
    <row r="89" spans="1:30" ht="12" customHeight="1" thickBot="1">
      <c r="A89" s="115"/>
      <c r="B89" s="13"/>
      <c r="C89" s="13"/>
      <c r="D89" s="22" t="s">
        <v>746</v>
      </c>
      <c r="E89" s="13"/>
      <c r="F89" s="13"/>
      <c r="G89" s="13"/>
      <c r="H89" s="13"/>
      <c r="I89" s="156">
        <v>11306301.17</v>
      </c>
      <c r="J89" s="272">
        <v>4370693.59</v>
      </c>
      <c r="K89" s="272"/>
      <c r="L89" s="272"/>
      <c r="M89" s="156">
        <v>0</v>
      </c>
      <c r="N89" s="156">
        <v>4370693.59</v>
      </c>
      <c r="O89" s="156">
        <f>O75+O86</f>
        <v>11835536.729999999</v>
      </c>
      <c r="P89" s="168">
        <f>O89-AD76</f>
        <v>0</v>
      </c>
      <c r="Q89" s="229" t="s">
        <v>1097</v>
      </c>
      <c r="R89" s="218"/>
      <c r="S89" s="218"/>
      <c r="T89" s="230" t="s">
        <v>1098</v>
      </c>
      <c r="U89" s="218"/>
      <c r="V89" s="218"/>
      <c r="W89" s="218"/>
      <c r="X89" s="231">
        <v>77269.53</v>
      </c>
      <c r="Y89" s="270">
        <v>0</v>
      </c>
      <c r="Z89" s="270"/>
      <c r="AA89" s="270"/>
      <c r="AB89" s="231">
        <v>0</v>
      </c>
      <c r="AC89" s="231">
        <v>0</v>
      </c>
      <c r="AD89" s="231">
        <v>77269.53</v>
      </c>
    </row>
    <row r="90" spans="1:30" ht="12" customHeight="1">
      <c r="A90" s="1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8"/>
      <c r="Q90" s="229" t="s">
        <v>988</v>
      </c>
      <c r="R90" s="218"/>
      <c r="S90" s="218"/>
      <c r="T90" s="230" t="s">
        <v>989</v>
      </c>
      <c r="U90" s="218"/>
      <c r="V90" s="218"/>
      <c r="W90" s="218"/>
      <c r="X90" s="231">
        <v>1443931.81</v>
      </c>
      <c r="Y90" s="270">
        <v>0</v>
      </c>
      <c r="Z90" s="270"/>
      <c r="AA90" s="270"/>
      <c r="AB90" s="231">
        <v>729627</v>
      </c>
      <c r="AC90" s="231">
        <v>729627</v>
      </c>
      <c r="AD90" s="231">
        <v>2173558.81</v>
      </c>
    </row>
    <row r="91" spans="1:30" ht="12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58"/>
      <c r="Q91" s="229" t="s">
        <v>948</v>
      </c>
      <c r="R91" s="218"/>
      <c r="S91" s="218"/>
      <c r="T91" s="230" t="s">
        <v>1128</v>
      </c>
      <c r="U91" s="218"/>
      <c r="V91" s="218"/>
      <c r="W91" s="218"/>
      <c r="X91" s="231">
        <v>6368643</v>
      </c>
      <c r="Y91" s="270">
        <v>0</v>
      </c>
      <c r="Z91" s="270"/>
      <c r="AA91" s="270"/>
      <c r="AB91" s="231">
        <v>3188892</v>
      </c>
      <c r="AC91" s="231">
        <v>3188892</v>
      </c>
      <c r="AD91" s="231">
        <v>9557535</v>
      </c>
    </row>
    <row r="92" spans="1:30" ht="12" customHeight="1">
      <c r="A92" s="115"/>
      <c r="B92" s="67" t="s">
        <v>747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69">
        <f>O111-O89</f>
        <v>1532472.1400000006</v>
      </c>
      <c r="P92" s="158"/>
      <c r="Q92" s="229" t="s">
        <v>949</v>
      </c>
      <c r="R92" s="218"/>
      <c r="S92" s="218"/>
      <c r="T92" s="230" t="s">
        <v>750</v>
      </c>
      <c r="U92" s="218"/>
      <c r="V92" s="218"/>
      <c r="W92" s="218"/>
      <c r="X92" s="231">
        <v>1020000</v>
      </c>
      <c r="Y92" s="270">
        <v>0</v>
      </c>
      <c r="Z92" s="270"/>
      <c r="AA92" s="270"/>
      <c r="AB92" s="231">
        <v>510000</v>
      </c>
      <c r="AC92" s="231">
        <v>510000</v>
      </c>
      <c r="AD92" s="231">
        <v>1530000</v>
      </c>
    </row>
    <row r="93" spans="1:30" ht="12" customHeight="1">
      <c r="A93" s="115"/>
      <c r="B93" s="67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58"/>
      <c r="Q93" s="229" t="s">
        <v>950</v>
      </c>
      <c r="R93" s="218"/>
      <c r="S93" s="218"/>
      <c r="T93" s="230" t="s">
        <v>751</v>
      </c>
      <c r="U93" s="218"/>
      <c r="V93" s="218"/>
      <c r="W93" s="218"/>
      <c r="X93" s="231">
        <v>1546.52</v>
      </c>
      <c r="Y93" s="270">
        <v>0</v>
      </c>
      <c r="Z93" s="270"/>
      <c r="AA93" s="270"/>
      <c r="AB93" s="231">
        <v>0</v>
      </c>
      <c r="AC93" s="231">
        <v>0</v>
      </c>
      <c r="AD93" s="231">
        <v>1546.52</v>
      </c>
    </row>
    <row r="94" spans="1:30" ht="12" customHeight="1">
      <c r="A94" s="115"/>
      <c r="B94" s="142" t="s">
        <v>961</v>
      </c>
      <c r="C94" s="115"/>
      <c r="D94" s="115"/>
      <c r="E94" s="123" t="s">
        <v>946</v>
      </c>
      <c r="F94" s="115"/>
      <c r="G94" s="115"/>
      <c r="H94" s="115"/>
      <c r="I94" s="115"/>
      <c r="J94" s="115"/>
      <c r="K94" s="115"/>
      <c r="L94" s="115"/>
      <c r="M94" s="115"/>
      <c r="N94" s="115"/>
      <c r="O94" s="157">
        <v>0</v>
      </c>
      <c r="P94" s="158"/>
      <c r="Q94" s="229" t="s">
        <v>951</v>
      </c>
      <c r="R94" s="218"/>
      <c r="S94" s="218"/>
      <c r="T94" s="230" t="s">
        <v>952</v>
      </c>
      <c r="U94" s="218"/>
      <c r="V94" s="218"/>
      <c r="W94" s="218"/>
      <c r="X94" s="231">
        <v>11638</v>
      </c>
      <c r="Y94" s="270">
        <v>0</v>
      </c>
      <c r="Z94" s="270"/>
      <c r="AA94" s="270"/>
      <c r="AB94" s="231">
        <v>0</v>
      </c>
      <c r="AC94" s="231">
        <v>0</v>
      </c>
      <c r="AD94" s="231">
        <v>11638</v>
      </c>
    </row>
    <row r="95" spans="1:30" ht="12" customHeight="1">
      <c r="A95" s="115"/>
      <c r="B95" s="12" t="s">
        <v>962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65">
        <f>SUM(O94)</f>
        <v>0</v>
      </c>
      <c r="P95" s="158"/>
      <c r="Q95" s="229" t="s">
        <v>953</v>
      </c>
      <c r="R95" s="218"/>
      <c r="S95" s="218"/>
      <c r="T95" s="230" t="s">
        <v>752</v>
      </c>
      <c r="U95" s="218"/>
      <c r="V95" s="218"/>
      <c r="W95" s="218"/>
      <c r="X95" s="231">
        <v>0.15</v>
      </c>
      <c r="Y95" s="271">
        <v>0</v>
      </c>
      <c r="Z95" s="271"/>
      <c r="AA95" s="271"/>
      <c r="AB95" s="231">
        <v>0.13</v>
      </c>
      <c r="AC95" s="231">
        <v>0.13</v>
      </c>
      <c r="AD95" s="231">
        <v>0.28</v>
      </c>
    </row>
    <row r="96" spans="1:30" ht="12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58"/>
      <c r="Q96" s="224" t="s">
        <v>753</v>
      </c>
      <c r="R96" s="218"/>
      <c r="S96" s="218"/>
      <c r="T96" s="218"/>
      <c r="U96" s="218"/>
      <c r="V96" s="218"/>
      <c r="W96" s="218"/>
      <c r="X96" s="232">
        <v>8927228.18</v>
      </c>
      <c r="Y96" s="269">
        <v>0</v>
      </c>
      <c r="Z96" s="269"/>
      <c r="AA96" s="269"/>
      <c r="AB96" s="232">
        <v>4440780.69</v>
      </c>
      <c r="AC96" s="232">
        <v>4440780.69</v>
      </c>
      <c r="AD96" s="232">
        <v>13368008.87</v>
      </c>
    </row>
    <row r="97" spans="1:30" ht="12" customHeight="1" thickBot="1">
      <c r="A97" s="115"/>
      <c r="B97" s="123">
        <v>671100</v>
      </c>
      <c r="C97" s="115"/>
      <c r="D97" s="115"/>
      <c r="E97" s="115" t="s">
        <v>967</v>
      </c>
      <c r="F97" s="115"/>
      <c r="G97" s="115"/>
      <c r="H97" s="115"/>
      <c r="I97" s="115"/>
      <c r="J97" s="115"/>
      <c r="K97" s="115"/>
      <c r="L97" s="115"/>
      <c r="M97" s="115"/>
      <c r="N97" s="115"/>
      <c r="O97" s="172">
        <f>0</f>
        <v>0</v>
      </c>
      <c r="P97" s="158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</row>
    <row r="98" spans="1:30" ht="12" customHeight="1">
      <c r="A98" s="115"/>
      <c r="B98" s="123">
        <v>671610</v>
      </c>
      <c r="C98" s="115"/>
      <c r="D98" s="115"/>
      <c r="E98" s="123" t="s">
        <v>748</v>
      </c>
      <c r="F98" s="115"/>
      <c r="G98" s="115"/>
      <c r="H98" s="115"/>
      <c r="I98" s="152">
        <v>9767.21</v>
      </c>
      <c r="J98" s="260">
        <v>0</v>
      </c>
      <c r="K98" s="260"/>
      <c r="L98" s="260"/>
      <c r="M98" s="152">
        <v>8942.12</v>
      </c>
      <c r="N98" s="152">
        <v>8942.12</v>
      </c>
      <c r="O98" s="172">
        <f>AD88</f>
        <v>16460.73</v>
      </c>
      <c r="P98" s="158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</row>
    <row r="99" spans="1:30" ht="12" customHeight="1" thickBot="1">
      <c r="A99" s="115"/>
      <c r="B99" s="123">
        <v>671621</v>
      </c>
      <c r="C99" s="115"/>
      <c r="D99" s="115"/>
      <c r="E99" s="123" t="s">
        <v>1098</v>
      </c>
      <c r="F99" s="115"/>
      <c r="G99" s="115"/>
      <c r="H99" s="115"/>
      <c r="I99" s="190"/>
      <c r="J99" s="190"/>
      <c r="K99" s="190"/>
      <c r="L99" s="190"/>
      <c r="M99" s="190"/>
      <c r="N99" s="190"/>
      <c r="O99" s="190">
        <f>AD89</f>
        <v>77269.53</v>
      </c>
      <c r="P99" s="158"/>
      <c r="Q99" s="226"/>
      <c r="R99" s="226"/>
      <c r="S99" s="234" t="s">
        <v>754</v>
      </c>
      <c r="T99" s="226"/>
      <c r="U99" s="226"/>
      <c r="V99" s="226"/>
      <c r="W99" s="226"/>
      <c r="X99" s="235">
        <v>8927228.18</v>
      </c>
      <c r="Y99" s="276">
        <v>0</v>
      </c>
      <c r="Z99" s="276"/>
      <c r="AA99" s="276"/>
      <c r="AB99" s="235">
        <v>4440780.69</v>
      </c>
      <c r="AC99" s="235">
        <v>4440780.69</v>
      </c>
      <c r="AD99" s="235">
        <v>13368008.87</v>
      </c>
    </row>
    <row r="100" spans="1:30" ht="12" customHeight="1">
      <c r="A100" s="115"/>
      <c r="B100" s="123">
        <v>676600</v>
      </c>
      <c r="C100" s="115"/>
      <c r="D100" s="115"/>
      <c r="E100" s="123" t="s">
        <v>1091</v>
      </c>
      <c r="F100" s="115"/>
      <c r="G100" s="115"/>
      <c r="H100" s="115"/>
      <c r="I100" s="152">
        <v>89454.6</v>
      </c>
      <c r="J100" s="260">
        <v>0</v>
      </c>
      <c r="K100" s="260"/>
      <c r="L100" s="260"/>
      <c r="M100" s="152">
        <v>1440.99</v>
      </c>
      <c r="N100" s="152">
        <v>1440.99</v>
      </c>
      <c r="O100" s="172">
        <f>0</f>
        <v>0</v>
      </c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</row>
    <row r="101" spans="1:30" ht="12" customHeight="1">
      <c r="A101" s="115"/>
      <c r="B101" s="123">
        <v>676710</v>
      </c>
      <c r="C101" s="115"/>
      <c r="D101" s="115"/>
      <c r="E101" s="123" t="s">
        <v>989</v>
      </c>
      <c r="F101" s="115"/>
      <c r="G101" s="115"/>
      <c r="H101" s="115"/>
      <c r="I101" s="166"/>
      <c r="J101" s="166"/>
      <c r="K101" s="166"/>
      <c r="L101" s="166"/>
      <c r="M101" s="166"/>
      <c r="N101" s="166"/>
      <c r="O101" s="172">
        <f>AD90</f>
        <v>2173558.81</v>
      </c>
      <c r="Q101" s="218"/>
      <c r="R101" s="218"/>
      <c r="S101" s="218"/>
      <c r="T101" s="218"/>
      <c r="U101" s="218"/>
      <c r="V101" s="218"/>
      <c r="W101" s="218"/>
      <c r="X101" s="218"/>
      <c r="Y101" s="224" t="s">
        <v>357</v>
      </c>
      <c r="Z101" s="218"/>
      <c r="AA101" s="218"/>
      <c r="AB101" s="218"/>
      <c r="AC101" s="233">
        <v>651710.69</v>
      </c>
      <c r="AD101" s="218"/>
    </row>
    <row r="102" spans="1:30" ht="16.5" customHeight="1" thickBot="1">
      <c r="A102" s="115"/>
      <c r="B102" s="123">
        <v>676711</v>
      </c>
      <c r="C102" s="115"/>
      <c r="D102" s="115"/>
      <c r="E102" s="123" t="s">
        <v>749</v>
      </c>
      <c r="F102" s="115"/>
      <c r="G102" s="115"/>
      <c r="H102" s="115"/>
      <c r="I102" s="152">
        <v>3940218.56</v>
      </c>
      <c r="J102" s="260">
        <v>0</v>
      </c>
      <c r="K102" s="260"/>
      <c r="L102" s="260"/>
      <c r="M102" s="152">
        <v>1239698.62</v>
      </c>
      <c r="N102" s="152">
        <v>1239698.62</v>
      </c>
      <c r="O102" s="175">
        <f>AD91</f>
        <v>9557535</v>
      </c>
      <c r="P102" s="23"/>
      <c r="Q102" s="218"/>
      <c r="R102" s="218"/>
      <c r="S102" s="218"/>
      <c r="T102" s="218"/>
      <c r="U102" s="218"/>
      <c r="V102" s="218"/>
      <c r="W102" s="218"/>
      <c r="X102" s="218"/>
      <c r="Y102" s="234" t="s">
        <v>358</v>
      </c>
      <c r="Z102" s="226"/>
      <c r="AA102" s="226"/>
      <c r="AB102" s="226"/>
      <c r="AC102" s="226"/>
      <c r="AD102" s="235">
        <v>1532472.14</v>
      </c>
    </row>
    <row r="103" spans="1:30" ht="16.5" customHeight="1">
      <c r="A103" s="115"/>
      <c r="B103" s="123">
        <v>676714</v>
      </c>
      <c r="C103" s="115"/>
      <c r="D103" s="115"/>
      <c r="E103" s="123" t="s">
        <v>959</v>
      </c>
      <c r="F103" s="115"/>
      <c r="G103" s="115"/>
      <c r="H103" s="115"/>
      <c r="I103" s="152">
        <v>212193.18</v>
      </c>
      <c r="J103" s="260">
        <v>0</v>
      </c>
      <c r="K103" s="260"/>
      <c r="L103" s="260"/>
      <c r="M103" s="152">
        <v>169610.07</v>
      </c>
      <c r="N103" s="152">
        <v>169610.07</v>
      </c>
      <c r="O103" s="172">
        <f>0</f>
        <v>0</v>
      </c>
      <c r="Q103" s="218"/>
      <c r="R103" s="218"/>
      <c r="S103" s="218"/>
      <c r="T103" s="218"/>
      <c r="U103" s="218"/>
      <c r="V103" s="218"/>
      <c r="W103" s="218"/>
      <c r="X103" s="218"/>
      <c r="Y103" s="227"/>
      <c r="Z103" s="227"/>
      <c r="AA103" s="227"/>
      <c r="AB103" s="227"/>
      <c r="AC103" s="227"/>
      <c r="AD103" s="227"/>
    </row>
    <row r="104" spans="1:30" ht="12" customHeight="1">
      <c r="A104" s="115"/>
      <c r="B104" s="123">
        <v>676719</v>
      </c>
      <c r="C104" s="115"/>
      <c r="D104" s="115"/>
      <c r="E104" s="123" t="s">
        <v>750</v>
      </c>
      <c r="F104" s="115"/>
      <c r="G104" s="115"/>
      <c r="H104" s="115"/>
      <c r="I104" s="152">
        <v>6860000</v>
      </c>
      <c r="J104" s="260">
        <v>0</v>
      </c>
      <c r="K104" s="260"/>
      <c r="L104" s="260"/>
      <c r="M104" s="152">
        <v>2500000</v>
      </c>
      <c r="N104" s="152">
        <v>2500000</v>
      </c>
      <c r="O104" s="172">
        <f>AD92</f>
        <v>1530000</v>
      </c>
      <c r="Q104" s="230" t="s">
        <v>1126</v>
      </c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</row>
    <row r="105" spans="1:15" ht="12" customHeight="1">
      <c r="A105" s="115"/>
      <c r="B105" s="123">
        <v>676720</v>
      </c>
      <c r="C105" s="115"/>
      <c r="D105" s="115"/>
      <c r="E105" s="123" t="s">
        <v>751</v>
      </c>
      <c r="F105" s="115"/>
      <c r="G105" s="115"/>
      <c r="H105" s="115"/>
      <c r="I105" s="152">
        <v>6857.78</v>
      </c>
      <c r="J105" s="260">
        <v>0</v>
      </c>
      <c r="K105" s="260"/>
      <c r="L105" s="260"/>
      <c r="M105" s="152">
        <v>4875.27</v>
      </c>
      <c r="N105" s="152">
        <v>4875.27</v>
      </c>
      <c r="O105" s="172">
        <f>AD93</f>
        <v>1546.52</v>
      </c>
    </row>
    <row r="106" spans="1:16" ht="33.75" customHeight="1">
      <c r="A106" s="6"/>
      <c r="B106" s="123">
        <v>676721</v>
      </c>
      <c r="C106" s="115"/>
      <c r="D106" s="115"/>
      <c r="E106" s="123" t="s">
        <v>952</v>
      </c>
      <c r="F106" s="115"/>
      <c r="G106" s="115"/>
      <c r="H106" s="115"/>
      <c r="I106" s="157"/>
      <c r="J106" s="157"/>
      <c r="K106" s="157"/>
      <c r="L106" s="157"/>
      <c r="M106" s="157"/>
      <c r="N106" s="157"/>
      <c r="O106" s="172">
        <f>AD94</f>
        <v>11638</v>
      </c>
      <c r="P106" s="23"/>
    </row>
    <row r="107" spans="2:15" ht="12.75">
      <c r="B107" s="123">
        <v>676790</v>
      </c>
      <c r="C107" s="115"/>
      <c r="D107" s="115"/>
      <c r="E107" s="123" t="s">
        <v>752</v>
      </c>
      <c r="F107" s="115"/>
      <c r="G107" s="115"/>
      <c r="H107" s="115"/>
      <c r="I107" s="152">
        <v>0.81</v>
      </c>
      <c r="J107" s="259">
        <v>0</v>
      </c>
      <c r="K107" s="259"/>
      <c r="L107" s="259"/>
      <c r="M107" s="152">
        <v>0.57</v>
      </c>
      <c r="N107" s="152">
        <v>0.57</v>
      </c>
      <c r="O107" s="172">
        <f>AD95</f>
        <v>0.28</v>
      </c>
    </row>
    <row r="108" spans="2:15" ht="12.75">
      <c r="B108" s="12" t="s">
        <v>753</v>
      </c>
      <c r="C108" s="115"/>
      <c r="D108" s="115"/>
      <c r="E108" s="115"/>
      <c r="F108" s="115"/>
      <c r="G108" s="115"/>
      <c r="H108" s="115"/>
      <c r="I108" s="153">
        <v>11118492.14</v>
      </c>
      <c r="J108" s="266">
        <v>0</v>
      </c>
      <c r="K108" s="266"/>
      <c r="L108" s="266"/>
      <c r="M108" s="153">
        <v>3924567.64</v>
      </c>
      <c r="N108" s="153">
        <v>3924567.64</v>
      </c>
      <c r="O108" s="153">
        <f>SUM(O97:O107)</f>
        <v>13368008.87</v>
      </c>
    </row>
    <row r="109" spans="2:16" ht="13.5" thickBo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23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6" ht="13.5" thickBot="1">
      <c r="B111" s="13"/>
      <c r="C111" s="13"/>
      <c r="D111" s="22" t="s">
        <v>754</v>
      </c>
      <c r="E111" s="13"/>
      <c r="F111" s="13"/>
      <c r="G111" s="13"/>
      <c r="H111" s="13"/>
      <c r="I111" s="156">
        <v>11118492.14</v>
      </c>
      <c r="J111" s="272">
        <v>0</v>
      </c>
      <c r="K111" s="272"/>
      <c r="L111" s="272"/>
      <c r="M111" s="156">
        <v>3924567.64</v>
      </c>
      <c r="N111" s="156">
        <v>3924567.64</v>
      </c>
      <c r="O111" s="156">
        <f>O108+O94</f>
        <v>13368008.87</v>
      </c>
      <c r="P111" s="23">
        <f>O111-AD99</f>
        <v>0</v>
      </c>
    </row>
    <row r="112" spans="2:16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23"/>
    </row>
    <row r="113" spans="2:16" ht="12.75">
      <c r="B113" s="115"/>
      <c r="C113" s="115"/>
      <c r="D113" s="115"/>
      <c r="E113" s="115"/>
      <c r="F113" s="115"/>
      <c r="G113" s="115"/>
      <c r="H113" s="115"/>
      <c r="I113" s="115"/>
      <c r="J113" s="12" t="s">
        <v>357</v>
      </c>
      <c r="K113" s="115"/>
      <c r="L113" s="115"/>
      <c r="M113" s="115"/>
      <c r="N113" s="21">
        <v>-446125.95</v>
      </c>
      <c r="O113" s="115"/>
      <c r="P113" s="23"/>
    </row>
    <row r="114" spans="2:15" ht="13.5" thickBot="1">
      <c r="B114" s="115"/>
      <c r="C114" s="115"/>
      <c r="D114" s="115"/>
      <c r="E114" s="115"/>
      <c r="F114" s="115"/>
      <c r="G114" s="115"/>
      <c r="H114" s="115"/>
      <c r="I114" s="115"/>
      <c r="J114" s="22" t="s">
        <v>358</v>
      </c>
      <c r="K114" s="13"/>
      <c r="L114" s="13"/>
      <c r="M114" s="13"/>
      <c r="N114" s="13"/>
      <c r="O114" s="156">
        <f>O111-O89</f>
        <v>1532472.1400000006</v>
      </c>
    </row>
    <row r="115" spans="2:15" ht="12.75">
      <c r="B115" s="115"/>
      <c r="C115" s="115"/>
      <c r="D115" s="115"/>
      <c r="E115" s="115"/>
      <c r="F115" s="115"/>
      <c r="G115" s="115"/>
      <c r="H115" s="115"/>
      <c r="I115" s="115"/>
      <c r="J115" s="14"/>
      <c r="K115" s="14"/>
      <c r="L115" s="14"/>
      <c r="M115" s="14"/>
      <c r="N115" s="14"/>
      <c r="O115" s="14"/>
    </row>
    <row r="116" spans="2:15" ht="12.75">
      <c r="B116" s="123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24" ht="12.75">
      <c r="O124" s="23"/>
    </row>
  </sheetData>
  <sheetProtection/>
  <mergeCells count="143">
    <mergeCell ref="Y85:AA85"/>
    <mergeCell ref="Y88:AA88"/>
    <mergeCell ref="Y96:AA96"/>
    <mergeCell ref="Y99:AA99"/>
    <mergeCell ref="Y90:AA90"/>
    <mergeCell ref="Y91:AA91"/>
    <mergeCell ref="Y92:AA92"/>
    <mergeCell ref="Y93:AA93"/>
    <mergeCell ref="Y94:AA94"/>
    <mergeCell ref="Y95:AA95"/>
    <mergeCell ref="Y72:AA72"/>
    <mergeCell ref="Y73:AA73"/>
    <mergeCell ref="Y76:AA76"/>
    <mergeCell ref="AC82:AD82"/>
    <mergeCell ref="AC83:AD83"/>
    <mergeCell ref="Y52:AA52"/>
    <mergeCell ref="Y65:AA65"/>
    <mergeCell ref="Y54:AA54"/>
    <mergeCell ref="Y55:AA55"/>
    <mergeCell ref="Y56:AA56"/>
    <mergeCell ref="Y57:AA57"/>
    <mergeCell ref="Y58:AA58"/>
    <mergeCell ref="Y59:AA59"/>
    <mergeCell ref="Y60:AA60"/>
    <mergeCell ref="Y61:AA61"/>
    <mergeCell ref="Y62:AA62"/>
    <mergeCell ref="Y63:AA63"/>
    <mergeCell ref="Y64:AA64"/>
    <mergeCell ref="Y18:AA18"/>
    <mergeCell ref="Y19:AA19"/>
    <mergeCell ref="Y20:AA20"/>
    <mergeCell ref="Y21:AA21"/>
    <mergeCell ref="Y22:AA22"/>
    <mergeCell ref="Y29:AA29"/>
    <mergeCell ref="Y30:AA30"/>
    <mergeCell ref="Y31:AA31"/>
    <mergeCell ref="Y89:AA89"/>
    <mergeCell ref="Y41:AA41"/>
    <mergeCell ref="Y53:AA53"/>
    <mergeCell ref="Y42:AA42"/>
    <mergeCell ref="Y43:AA43"/>
    <mergeCell ref="Y44:AA44"/>
    <mergeCell ref="Y45:AA45"/>
    <mergeCell ref="Y46:AA46"/>
    <mergeCell ref="Y47:AA47"/>
    <mergeCell ref="Y48:AA48"/>
    <mergeCell ref="Y38:AA38"/>
    <mergeCell ref="Y39:AA39"/>
    <mergeCell ref="Y40:AA40"/>
    <mergeCell ref="Y35:AA35"/>
    <mergeCell ref="Y36:AA36"/>
    <mergeCell ref="Y37:AA37"/>
    <mergeCell ref="AC6:AD6"/>
    <mergeCell ref="AC7:AD7"/>
    <mergeCell ref="Y9:AA9"/>
    <mergeCell ref="Y15:AA15"/>
    <mergeCell ref="Y16:AA16"/>
    <mergeCell ref="Y23:AA23"/>
    <mergeCell ref="J63:L63"/>
    <mergeCell ref="J49:L49"/>
    <mergeCell ref="J50:L50"/>
    <mergeCell ref="J51:L51"/>
    <mergeCell ref="J52:L52"/>
    <mergeCell ref="Y17:AA17"/>
    <mergeCell ref="Y24:AA24"/>
    <mergeCell ref="Y25:AA25"/>
    <mergeCell ref="Y26:AA26"/>
    <mergeCell ref="Y27:AA27"/>
    <mergeCell ref="J27:L27"/>
    <mergeCell ref="Y49:AA49"/>
    <mergeCell ref="Y50:AA50"/>
    <mergeCell ref="Y51:AA51"/>
    <mergeCell ref="J45:L45"/>
    <mergeCell ref="J46:L46"/>
    <mergeCell ref="Y28:AA28"/>
    <mergeCell ref="Y32:AA32"/>
    <mergeCell ref="Y33:AA33"/>
    <mergeCell ref="Y34:AA34"/>
    <mergeCell ref="J43:L43"/>
    <mergeCell ref="J37:L37"/>
    <mergeCell ref="J30:L30"/>
    <mergeCell ref="J32:L32"/>
    <mergeCell ref="J36:L36"/>
    <mergeCell ref="J29:L29"/>
    <mergeCell ref="J34:L34"/>
    <mergeCell ref="J35:L35"/>
    <mergeCell ref="J18:L18"/>
    <mergeCell ref="J22:L22"/>
    <mergeCell ref="J19:L19"/>
    <mergeCell ref="J21:L21"/>
    <mergeCell ref="J25:L25"/>
    <mergeCell ref="J23:L23"/>
    <mergeCell ref="J24:L24"/>
    <mergeCell ref="J44:L44"/>
    <mergeCell ref="N2:O2"/>
    <mergeCell ref="N3:O3"/>
    <mergeCell ref="J16:L16"/>
    <mergeCell ref="J17:L17"/>
    <mergeCell ref="J5:L5"/>
    <mergeCell ref="J6:L6"/>
    <mergeCell ref="J15:L15"/>
    <mergeCell ref="J11:L11"/>
    <mergeCell ref="J12:L12"/>
    <mergeCell ref="J41:L41"/>
    <mergeCell ref="J42:L42"/>
    <mergeCell ref="J33:L33"/>
    <mergeCell ref="J80:L80"/>
    <mergeCell ref="J81:L81"/>
    <mergeCell ref="J60:L60"/>
    <mergeCell ref="J53:L53"/>
    <mergeCell ref="J54:L54"/>
    <mergeCell ref="J55:L55"/>
    <mergeCell ref="J58:L58"/>
    <mergeCell ref="J107:L107"/>
    <mergeCell ref="J108:L108"/>
    <mergeCell ref="J84:L84"/>
    <mergeCell ref="J64:L64"/>
    <mergeCell ref="J111:L111"/>
    <mergeCell ref="J75:L75"/>
    <mergeCell ref="J86:L86"/>
    <mergeCell ref="J89:L89"/>
    <mergeCell ref="J83:L83"/>
    <mergeCell ref="J85:L85"/>
    <mergeCell ref="J103:L103"/>
    <mergeCell ref="J56:L56"/>
    <mergeCell ref="J47:L47"/>
    <mergeCell ref="J104:L104"/>
    <mergeCell ref="H71:J71"/>
    <mergeCell ref="J73:L73"/>
    <mergeCell ref="J65:L65"/>
    <mergeCell ref="J57:L57"/>
    <mergeCell ref="J100:L100"/>
    <mergeCell ref="J102:L102"/>
    <mergeCell ref="Y66:AA66"/>
    <mergeCell ref="Y68:AA68"/>
    <mergeCell ref="Y69:AA69"/>
    <mergeCell ref="Y70:AA70"/>
    <mergeCell ref="J105:L105"/>
    <mergeCell ref="J68:L68"/>
    <mergeCell ref="J67:L67"/>
    <mergeCell ref="N77:O77"/>
    <mergeCell ref="N78:O78"/>
    <mergeCell ref="J98:L98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SheetLayoutView="80" zoomScalePageLayoutView="0" workbookViewId="0" topLeftCell="A1">
      <selection activeCell="B21" sqref="B21"/>
    </sheetView>
  </sheetViews>
  <sheetFormatPr defaultColWidth="9.140625" defaultRowHeight="12.75"/>
  <cols>
    <col min="1" max="1" width="51.57421875" style="0" customWidth="1"/>
    <col min="2" max="2" width="27.57421875" style="0" customWidth="1"/>
    <col min="3" max="3" width="12.00390625" style="0" customWidth="1"/>
    <col min="4" max="4" width="10.8515625" style="0" customWidth="1"/>
    <col min="5" max="6" width="11.00390625" style="0" bestFit="1" customWidth="1"/>
  </cols>
  <sheetData>
    <row r="1" spans="1:2" ht="12.75">
      <c r="A1" s="75" t="s">
        <v>788</v>
      </c>
      <c r="B1" s="75"/>
    </row>
    <row r="2" spans="1:2" ht="12.75">
      <c r="A2" s="77" t="s">
        <v>785</v>
      </c>
      <c r="B2" s="77"/>
    </row>
    <row r="3" spans="1:2" ht="12.75">
      <c r="A3" s="77" t="s">
        <v>789</v>
      </c>
      <c r="B3" s="77"/>
    </row>
    <row r="4" spans="1:2" ht="12.75">
      <c r="A4" s="77" t="s">
        <v>787</v>
      </c>
      <c r="B4" s="77"/>
    </row>
    <row r="5" spans="1:2" ht="13.5" thickBot="1">
      <c r="A5" s="79" t="s">
        <v>790</v>
      </c>
      <c r="B5" s="79"/>
    </row>
    <row r="6" spans="1:2" ht="25.5">
      <c r="A6" s="75" t="s">
        <v>782</v>
      </c>
      <c r="B6" s="76">
        <f>B14/B13</f>
        <v>0.21127216075511865</v>
      </c>
    </row>
    <row r="7" spans="1:2" ht="25.5">
      <c r="A7" s="77" t="s">
        <v>783</v>
      </c>
      <c r="B7" s="78">
        <f>B14/B15</f>
        <v>0.26786446508264267</v>
      </c>
    </row>
    <row r="8" spans="1:2" ht="25.5">
      <c r="A8" s="77" t="s">
        <v>784</v>
      </c>
      <c r="B8" s="78">
        <f>B16/B13</f>
        <v>0.10579596393976666</v>
      </c>
    </row>
    <row r="9" spans="1:2" ht="12.75">
      <c r="A9" s="77" t="s">
        <v>785</v>
      </c>
      <c r="B9" s="78">
        <f>B16/B18</f>
        <v>0.1911948906546461</v>
      </c>
    </row>
    <row r="10" spans="1:2" ht="25.5">
      <c r="A10" s="77" t="s">
        <v>786</v>
      </c>
      <c r="B10" s="78">
        <f>B16/B17</f>
        <v>0.11544673612964045</v>
      </c>
    </row>
    <row r="11" spans="1:2" ht="13.5" thickBot="1">
      <c r="A11" s="79" t="s">
        <v>787</v>
      </c>
      <c r="B11" s="80">
        <f>B19/B20</f>
        <v>2045.888592</v>
      </c>
    </row>
    <row r="12" spans="3:6" ht="12.75">
      <c r="C12" t="s">
        <v>1079</v>
      </c>
      <c r="D12" t="s">
        <v>1080</v>
      </c>
      <c r="E12" t="s">
        <v>1081</v>
      </c>
      <c r="F12" t="s">
        <v>1082</v>
      </c>
    </row>
    <row r="13" spans="1:8" ht="25.5">
      <c r="A13" t="s">
        <v>775</v>
      </c>
      <c r="B13" s="74">
        <f>FIS10!C10</f>
        <v>14485.166380000002</v>
      </c>
      <c r="C13" s="74">
        <v>13216.001199999999</v>
      </c>
      <c r="D13" s="74">
        <v>13683.193940000001</v>
      </c>
      <c r="E13" s="74">
        <f>FIS10!C10</f>
        <v>14485.166380000002</v>
      </c>
      <c r="F13" s="74">
        <f>FIS10!C10</f>
        <v>14485.166380000002</v>
      </c>
      <c r="H13" s="187" t="s">
        <v>1083</v>
      </c>
    </row>
    <row r="14" spans="1:2" ht="12.75">
      <c r="A14" t="s">
        <v>776</v>
      </c>
      <c r="B14" s="74">
        <f>FIS10!C83+FIS10!C72+FIS10!C79</f>
        <v>3060.3124000000007</v>
      </c>
    </row>
    <row r="15" spans="1:2" ht="12.75">
      <c r="A15" t="s">
        <v>777</v>
      </c>
      <c r="B15" s="74">
        <f>FIS10!C85</f>
        <v>11424.853979999998</v>
      </c>
    </row>
    <row r="16" spans="1:2" ht="12.75">
      <c r="A16" t="s">
        <v>778</v>
      </c>
      <c r="B16" s="74">
        <f>FIS10!C120</f>
        <v>1532.4721400000005</v>
      </c>
    </row>
    <row r="17" spans="1:2" ht="12.75">
      <c r="A17" t="s">
        <v>779</v>
      </c>
      <c r="B17" s="74">
        <f>FIS20!C32+FIS20!C45</f>
        <v>13274.278610000001</v>
      </c>
    </row>
    <row r="18" spans="1:8" ht="25.5">
      <c r="A18" t="s">
        <v>780</v>
      </c>
      <c r="B18" s="74">
        <f>C18</f>
        <v>8015.23584</v>
      </c>
      <c r="C18" s="74">
        <v>8015.23584</v>
      </c>
      <c r="D18" s="74">
        <v>7393.403290000001</v>
      </c>
      <c r="E18" s="74">
        <f>'m1'!D8</f>
        <v>8181.537839999998</v>
      </c>
      <c r="F18" s="74">
        <f>'m1'!D8</f>
        <v>8181.537839999998</v>
      </c>
      <c r="H18" s="187" t="s">
        <v>1083</v>
      </c>
    </row>
    <row r="19" spans="1:2" ht="12.75">
      <c r="A19" t="s">
        <v>527</v>
      </c>
      <c r="B19" s="74">
        <f>FIS20!C48</f>
        <v>10229.44296</v>
      </c>
    </row>
    <row r="20" spans="1:2" ht="12.75">
      <c r="A20" t="s">
        <v>781</v>
      </c>
      <c r="B20">
        <v>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9"/>
  <sheetViews>
    <sheetView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30.7109375" style="0" customWidth="1"/>
    <col min="2" max="2" width="50.421875" style="0" customWidth="1"/>
    <col min="3" max="3" width="26.7109375" style="0" customWidth="1"/>
    <col min="4" max="4" width="15.7109375" style="0" customWidth="1"/>
  </cols>
  <sheetData>
    <row r="1" spans="1:4" ht="12.75">
      <c r="A1" s="81" t="s">
        <v>791</v>
      </c>
      <c r="B1" s="82"/>
      <c r="C1" s="83"/>
      <c r="D1" s="84"/>
    </row>
    <row r="2" spans="1:4" ht="12.75">
      <c r="A2" s="85" t="s">
        <v>792</v>
      </c>
      <c r="B2" s="86"/>
      <c r="C2" s="87"/>
      <c r="D2" s="88"/>
    </row>
    <row r="3" spans="1:4" ht="12.75">
      <c r="A3" s="289"/>
      <c r="B3" s="290"/>
      <c r="C3" s="290"/>
      <c r="D3" s="291"/>
    </row>
    <row r="4" spans="1:4" ht="12.75">
      <c r="A4" s="292" t="s">
        <v>792</v>
      </c>
      <c r="B4" s="293"/>
      <c r="C4" s="294"/>
      <c r="D4" s="298" t="s">
        <v>793</v>
      </c>
    </row>
    <row r="5" spans="1:4" ht="27" customHeight="1" thickBot="1">
      <c r="A5" s="295"/>
      <c r="B5" s="296"/>
      <c r="C5" s="297"/>
      <c r="D5" s="299"/>
    </row>
    <row r="6" spans="1:4" ht="13.5" thickBot="1">
      <c r="A6" s="89" t="s">
        <v>794</v>
      </c>
      <c r="B6" s="90"/>
      <c r="C6" s="91">
        <v>44377</v>
      </c>
      <c r="D6" s="92"/>
    </row>
    <row r="7" spans="1:4" ht="12.75">
      <c r="A7" s="300" t="s">
        <v>795</v>
      </c>
      <c r="B7" s="301"/>
      <c r="C7" s="302"/>
      <c r="D7" s="306" t="s">
        <v>796</v>
      </c>
    </row>
    <row r="8" spans="1:4" ht="13.5" thickBot="1">
      <c r="A8" s="303"/>
      <c r="B8" s="304"/>
      <c r="C8" s="305"/>
      <c r="D8" s="307"/>
    </row>
    <row r="9" spans="1:4" s="95" customFormat="1" ht="25.5">
      <c r="A9" s="278" t="s">
        <v>797</v>
      </c>
      <c r="B9" s="93" t="s">
        <v>798</v>
      </c>
      <c r="C9" s="94"/>
      <c r="D9" s="281" t="s">
        <v>799</v>
      </c>
    </row>
    <row r="10" spans="1:4" s="95" customFormat="1" ht="25.5">
      <c r="A10" s="279"/>
      <c r="B10" s="96" t="s">
        <v>800</v>
      </c>
      <c r="C10" s="97"/>
      <c r="D10" s="282"/>
    </row>
    <row r="11" spans="1:4" s="95" customFormat="1" ht="15">
      <c r="A11" s="279"/>
      <c r="B11" s="96" t="s">
        <v>801</v>
      </c>
      <c r="C11" s="97"/>
      <c r="D11" s="282"/>
    </row>
    <row r="12" spans="1:4" s="95" customFormat="1" ht="15">
      <c r="A12" s="279"/>
      <c r="B12" s="96" t="s">
        <v>802</v>
      </c>
      <c r="C12" s="97"/>
      <c r="D12" s="282"/>
    </row>
    <row r="13" spans="1:4" s="95" customFormat="1" ht="15">
      <c r="A13" s="279"/>
      <c r="B13" s="96" t="s">
        <v>803</v>
      </c>
      <c r="C13" s="97"/>
      <c r="D13" s="282"/>
    </row>
    <row r="14" spans="1:4" s="95" customFormat="1" ht="15">
      <c r="A14" s="279"/>
      <c r="B14" s="96" t="s">
        <v>804</v>
      </c>
      <c r="C14" s="108">
        <f>'m2'!D18</f>
        <v>1282.2045960000003</v>
      </c>
      <c r="D14" s="282"/>
    </row>
    <row r="15" spans="1:4" s="95" customFormat="1" ht="15">
      <c r="A15" s="279"/>
      <c r="B15" s="96" t="s">
        <v>805</v>
      </c>
      <c r="C15" s="108">
        <f>'m2'!D19</f>
        <v>4773.717570000001</v>
      </c>
      <c r="D15" s="282"/>
    </row>
    <row r="16" spans="1:4" s="95" customFormat="1" ht="15">
      <c r="A16" s="279"/>
      <c r="B16" s="96" t="s">
        <v>806</v>
      </c>
      <c r="C16" s="108"/>
      <c r="D16" s="282"/>
    </row>
    <row r="17" spans="1:4" s="95" customFormat="1" ht="15">
      <c r="A17" s="279"/>
      <c r="B17" s="96" t="s">
        <v>807</v>
      </c>
      <c r="C17" s="108"/>
      <c r="D17" s="282"/>
    </row>
    <row r="18" spans="1:4" s="95" customFormat="1" ht="15">
      <c r="A18" s="279"/>
      <c r="B18" s="96" t="s">
        <v>808</v>
      </c>
      <c r="C18" s="108"/>
      <c r="D18" s="282"/>
    </row>
    <row r="19" spans="1:4" s="95" customFormat="1" ht="15">
      <c r="A19" s="279"/>
      <c r="B19" s="96" t="s">
        <v>809</v>
      </c>
      <c r="C19" s="108"/>
      <c r="D19" s="282"/>
    </row>
    <row r="20" spans="1:4" s="95" customFormat="1" ht="15">
      <c r="A20" s="279"/>
      <c r="B20" s="96" t="s">
        <v>810</v>
      </c>
      <c r="C20" s="108"/>
      <c r="D20" s="282"/>
    </row>
    <row r="21" spans="1:4" s="95" customFormat="1" ht="15">
      <c r="A21" s="279"/>
      <c r="B21" s="96" t="s">
        <v>811</v>
      </c>
      <c r="C21" s="108"/>
      <c r="D21" s="282"/>
    </row>
    <row r="22" spans="1:4" s="95" customFormat="1" ht="25.5">
      <c r="A22" s="279"/>
      <c r="B22" s="96" t="s">
        <v>812</v>
      </c>
      <c r="C22" s="108"/>
      <c r="D22" s="282"/>
    </row>
    <row r="23" spans="1:4" s="95" customFormat="1" ht="25.5">
      <c r="A23" s="279"/>
      <c r="B23" s="96" t="s">
        <v>813</v>
      </c>
      <c r="C23" s="108"/>
      <c r="D23" s="282"/>
    </row>
    <row r="24" spans="1:4" s="95" customFormat="1" ht="15">
      <c r="A24" s="279"/>
      <c r="B24" s="96" t="s">
        <v>814</v>
      </c>
      <c r="C24" s="108"/>
      <c r="D24" s="282"/>
    </row>
    <row r="25" spans="1:4" s="95" customFormat="1" ht="15.75" thickBot="1">
      <c r="A25" s="280"/>
      <c r="B25" s="98" t="s">
        <v>815</v>
      </c>
      <c r="C25" s="109">
        <f>'m2'!D28</f>
        <v>2796.0558099999994</v>
      </c>
      <c r="D25" s="282"/>
    </row>
    <row r="26" spans="1:4" s="95" customFormat="1" ht="15">
      <c r="A26" s="278" t="s">
        <v>816</v>
      </c>
      <c r="B26" s="93" t="s">
        <v>817</v>
      </c>
      <c r="C26" s="110"/>
      <c r="D26" s="281" t="s">
        <v>818</v>
      </c>
    </row>
    <row r="27" spans="1:4" s="95" customFormat="1" ht="24.75" customHeight="1">
      <c r="A27" s="279"/>
      <c r="B27" s="96" t="s">
        <v>819</v>
      </c>
      <c r="C27" s="108"/>
      <c r="D27" s="282"/>
    </row>
    <row r="28" spans="1:5" s="95" customFormat="1" ht="15">
      <c r="A28" s="279"/>
      <c r="B28" s="96" t="s">
        <v>820</v>
      </c>
      <c r="C28" s="108">
        <f>'m2'!D64*0.08</f>
        <v>1.0531528000000003</v>
      </c>
      <c r="D28" s="282"/>
      <c r="E28" s="107" t="s">
        <v>836</v>
      </c>
    </row>
    <row r="29" spans="1:4" s="95" customFormat="1" ht="15">
      <c r="A29" s="279"/>
      <c r="B29" s="96" t="s">
        <v>821</v>
      </c>
      <c r="C29" s="108"/>
      <c r="D29" s="282"/>
    </row>
    <row r="30" spans="1:4" s="95" customFormat="1" ht="15.75" thickBot="1">
      <c r="A30" s="280"/>
      <c r="B30" s="98" t="s">
        <v>822</v>
      </c>
      <c r="C30" s="109"/>
      <c r="D30" s="282"/>
    </row>
    <row r="31" spans="1:5" s="95" customFormat="1" ht="30" customHeight="1">
      <c r="A31" s="278" t="s">
        <v>823</v>
      </c>
      <c r="B31" s="93" t="s">
        <v>824</v>
      </c>
      <c r="C31" s="111"/>
      <c r="D31" s="284" t="s">
        <v>825</v>
      </c>
      <c r="E31" s="100"/>
    </row>
    <row r="32" spans="1:5" s="95" customFormat="1" ht="25.5">
      <c r="A32" s="279"/>
      <c r="B32" s="96" t="s">
        <v>826</v>
      </c>
      <c r="C32" s="112"/>
      <c r="D32" s="285"/>
      <c r="E32" s="100"/>
    </row>
    <row r="33" spans="1:5" s="95" customFormat="1" ht="26.25" thickBot="1">
      <c r="A33" s="283"/>
      <c r="B33" s="101" t="s">
        <v>827</v>
      </c>
      <c r="C33" s="113"/>
      <c r="D33" s="286"/>
      <c r="E33" s="100"/>
    </row>
    <row r="34" spans="1:5" s="95" customFormat="1" ht="24.75" customHeight="1">
      <c r="A34" s="278" t="s">
        <v>828</v>
      </c>
      <c r="B34" s="99" t="s">
        <v>798</v>
      </c>
      <c r="C34" s="110"/>
      <c r="D34" s="282" t="s">
        <v>829</v>
      </c>
      <c r="E34" s="100"/>
    </row>
    <row r="35" spans="1:4" s="95" customFormat="1" ht="24.75" customHeight="1">
      <c r="A35" s="279"/>
      <c r="B35" s="103" t="s">
        <v>804</v>
      </c>
      <c r="C35" s="97"/>
      <c r="D35" s="282"/>
    </row>
    <row r="36" spans="1:4" s="95" customFormat="1" ht="24.75" customHeight="1">
      <c r="A36" s="279"/>
      <c r="B36" s="103" t="s">
        <v>805</v>
      </c>
      <c r="C36" s="97"/>
      <c r="D36" s="282"/>
    </row>
    <row r="37" spans="1:4" s="95" customFormat="1" ht="24.75" customHeight="1">
      <c r="A37" s="279"/>
      <c r="B37" s="103" t="s">
        <v>806</v>
      </c>
      <c r="C37" s="97"/>
      <c r="D37" s="282"/>
    </row>
    <row r="38" spans="1:4" s="95" customFormat="1" ht="24.75" customHeight="1">
      <c r="A38" s="279"/>
      <c r="B38" s="103" t="s">
        <v>814</v>
      </c>
      <c r="C38" s="97"/>
      <c r="D38" s="282"/>
    </row>
    <row r="39" spans="1:4" s="95" customFormat="1" ht="24.75" customHeight="1">
      <c r="A39" s="279"/>
      <c r="B39" s="103" t="s">
        <v>811</v>
      </c>
      <c r="C39" s="97"/>
      <c r="D39" s="282"/>
    </row>
    <row r="40" spans="1:4" s="95" customFormat="1" ht="24.75" customHeight="1" thickBot="1">
      <c r="A40" s="283"/>
      <c r="B40" s="104" t="s">
        <v>143</v>
      </c>
      <c r="C40" s="102"/>
      <c r="D40" s="282"/>
    </row>
    <row r="41" spans="1:4" s="95" customFormat="1" ht="15" customHeight="1">
      <c r="A41" s="288" t="s">
        <v>830</v>
      </c>
      <c r="B41" s="105" t="s">
        <v>831</v>
      </c>
      <c r="C41" s="105"/>
      <c r="D41" s="282"/>
    </row>
    <row r="42" spans="1:4" s="95" customFormat="1" ht="25.5">
      <c r="A42" s="279"/>
      <c r="B42" s="103" t="s">
        <v>832</v>
      </c>
      <c r="C42" s="103"/>
      <c r="D42" s="282"/>
    </row>
    <row r="43" spans="1:4" s="95" customFormat="1" ht="25.5">
      <c r="A43" s="279"/>
      <c r="B43" s="103" t="s">
        <v>833</v>
      </c>
      <c r="C43" s="103"/>
      <c r="D43" s="282"/>
    </row>
    <row r="44" spans="1:4" s="95" customFormat="1" ht="25.5">
      <c r="A44" s="279"/>
      <c r="B44" s="103" t="s">
        <v>834</v>
      </c>
      <c r="C44" s="103"/>
      <c r="D44" s="282"/>
    </row>
    <row r="45" spans="1:4" s="95" customFormat="1" ht="26.25" thickBot="1">
      <c r="A45" s="283"/>
      <c r="B45" s="104" t="s">
        <v>835</v>
      </c>
      <c r="C45" s="104"/>
      <c r="D45" s="287"/>
    </row>
    <row r="46" spans="1:3" ht="12.75">
      <c r="A46" s="106"/>
      <c r="C46" s="106"/>
    </row>
    <row r="47" spans="1:3" ht="12.75">
      <c r="A47" s="106"/>
      <c r="B47" s="106"/>
      <c r="C47" s="106"/>
    </row>
    <row r="48" spans="1:3" ht="12.75">
      <c r="A48" s="106"/>
      <c r="B48" s="106"/>
      <c r="C48" s="106"/>
    </row>
    <row r="49" spans="1:3" ht="12.75">
      <c r="A49" s="106"/>
      <c r="B49" s="106"/>
      <c r="C49" s="106"/>
    </row>
    <row r="50" spans="1:3" ht="12.75">
      <c r="A50" s="106"/>
      <c r="B50" s="106"/>
      <c r="C50" s="106"/>
    </row>
    <row r="51" spans="1:3" ht="12.75">
      <c r="A51" s="106"/>
      <c r="B51" s="106"/>
      <c r="C51" s="106"/>
    </row>
    <row r="52" spans="1:3" ht="12.75">
      <c r="A52" s="106"/>
      <c r="B52" s="106"/>
      <c r="C52" s="106"/>
    </row>
    <row r="53" spans="1:3" ht="12.75">
      <c r="A53" s="106"/>
      <c r="B53" s="106"/>
      <c r="C53" s="106"/>
    </row>
    <row r="54" spans="1:3" ht="12.75">
      <c r="A54" s="106"/>
      <c r="B54" s="106"/>
      <c r="C54" s="106"/>
    </row>
    <row r="55" spans="1:3" ht="12.75">
      <c r="A55" s="106"/>
      <c r="B55" s="106"/>
      <c r="C55" s="106"/>
    </row>
    <row r="56" spans="1:3" ht="12.75">
      <c r="A56" s="106"/>
      <c r="B56" s="106"/>
      <c r="C56" s="106"/>
    </row>
    <row r="57" spans="1:3" ht="12.75">
      <c r="A57" s="106"/>
      <c r="B57" s="106"/>
      <c r="C57" s="106"/>
    </row>
    <row r="58" spans="1:3" ht="12.75">
      <c r="A58" s="106"/>
      <c r="B58" s="106"/>
      <c r="C58" s="106"/>
    </row>
    <row r="59" spans="1:3" ht="12.75">
      <c r="A59" s="106"/>
      <c r="B59" s="106"/>
      <c r="C59" s="106"/>
    </row>
    <row r="60" spans="1:3" ht="12.75">
      <c r="A60" s="106"/>
      <c r="B60" s="106"/>
      <c r="C60" s="106"/>
    </row>
    <row r="61" spans="1:3" ht="12.75">
      <c r="A61" s="106"/>
      <c r="B61" s="106"/>
      <c r="C61" s="106"/>
    </row>
    <row r="62" spans="1:3" ht="12.75">
      <c r="A62" s="106"/>
      <c r="B62" s="106"/>
      <c r="C62" s="106"/>
    </row>
    <row r="63" spans="1:3" ht="12.75">
      <c r="A63" s="106"/>
      <c r="B63" s="106"/>
      <c r="C63" s="106"/>
    </row>
    <row r="64" spans="1:3" ht="12.75">
      <c r="A64" s="106"/>
      <c r="B64" s="106"/>
      <c r="C64" s="106"/>
    </row>
    <row r="65" spans="1:3" ht="12.75">
      <c r="A65" s="106"/>
      <c r="B65" s="106"/>
      <c r="C65" s="106"/>
    </row>
    <row r="66" spans="1:3" ht="12.75">
      <c r="A66" s="106"/>
      <c r="B66" s="106"/>
      <c r="C66" s="106"/>
    </row>
    <row r="67" spans="1:3" ht="12.75">
      <c r="A67" s="106"/>
      <c r="B67" s="106"/>
      <c r="C67" s="106"/>
    </row>
    <row r="68" spans="1:3" ht="12.75">
      <c r="A68" s="106"/>
      <c r="B68" s="106"/>
      <c r="C68" s="106"/>
    </row>
    <row r="69" spans="1:3" ht="12.75">
      <c r="A69" s="106"/>
      <c r="B69" s="106"/>
      <c r="C69" s="106"/>
    </row>
    <row r="70" spans="1:3" ht="12.75">
      <c r="A70" s="106"/>
      <c r="B70" s="106"/>
      <c r="C70" s="106"/>
    </row>
    <row r="71" spans="1:3" ht="12.75">
      <c r="A71" s="106"/>
      <c r="B71" s="106"/>
      <c r="C71" s="106"/>
    </row>
    <row r="72" spans="1:3" ht="12.75">
      <c r="A72" s="106"/>
      <c r="B72" s="106"/>
      <c r="C72" s="106"/>
    </row>
    <row r="73" spans="1:3" ht="12.75">
      <c r="A73" s="106"/>
      <c r="B73" s="106"/>
      <c r="C73" s="106"/>
    </row>
    <row r="74" spans="1:3" ht="12.75">
      <c r="A74" s="106"/>
      <c r="B74" s="106"/>
      <c r="C74" s="106"/>
    </row>
    <row r="75" spans="1:3" ht="12.75">
      <c r="A75" s="106"/>
      <c r="B75" s="106"/>
      <c r="C75" s="106"/>
    </row>
    <row r="76" spans="1:3" ht="12.75">
      <c r="A76" s="106"/>
      <c r="B76" s="106"/>
      <c r="C76" s="106"/>
    </row>
    <row r="77" spans="1:3" ht="12.75">
      <c r="A77" s="106"/>
      <c r="B77" s="106"/>
      <c r="C77" s="106"/>
    </row>
    <row r="78" spans="1:3" ht="12.75">
      <c r="A78" s="106"/>
      <c r="B78" s="106"/>
      <c r="C78" s="106"/>
    </row>
    <row r="79" spans="1:3" ht="12.75">
      <c r="A79" s="106"/>
      <c r="B79" s="106"/>
      <c r="C79" s="106"/>
    </row>
    <row r="80" spans="1:3" ht="12.75">
      <c r="A80" s="106"/>
      <c r="B80" s="106"/>
      <c r="C80" s="106"/>
    </row>
    <row r="81" spans="1:3" ht="12.75">
      <c r="A81" s="106"/>
      <c r="B81" s="106"/>
      <c r="C81" s="106"/>
    </row>
    <row r="82" spans="1:3" ht="12.75">
      <c r="A82" s="106"/>
      <c r="B82" s="106"/>
      <c r="C82" s="106"/>
    </row>
    <row r="83" spans="1:3" ht="12.75">
      <c r="A83" s="106"/>
      <c r="B83" s="106"/>
      <c r="C83" s="106"/>
    </row>
    <row r="84" spans="1:3" ht="12.75">
      <c r="A84" s="106"/>
      <c r="B84" s="106"/>
      <c r="C84" s="106"/>
    </row>
    <row r="85" spans="1:3" ht="12.75">
      <c r="A85" s="106"/>
      <c r="B85" s="106"/>
      <c r="C85" s="106"/>
    </row>
    <row r="86" spans="1:3" ht="12.75">
      <c r="A86" s="106"/>
      <c r="B86" s="106"/>
      <c r="C86" s="106"/>
    </row>
    <row r="87" spans="1:3" ht="12.75">
      <c r="A87" s="106"/>
      <c r="B87" s="106"/>
      <c r="C87" s="106"/>
    </row>
    <row r="88" spans="1:3" ht="12.75">
      <c r="A88" s="106"/>
      <c r="B88" s="106"/>
      <c r="C88" s="106"/>
    </row>
    <row r="89" spans="1:3" ht="12.75">
      <c r="A89" s="106"/>
      <c r="B89" s="106"/>
      <c r="C89" s="106"/>
    </row>
    <row r="90" spans="1:3" ht="12.75">
      <c r="A90" s="106"/>
      <c r="B90" s="106"/>
      <c r="C90" s="106"/>
    </row>
    <row r="91" spans="1:3" ht="12.75">
      <c r="A91" s="106"/>
      <c r="B91" s="106"/>
      <c r="C91" s="106"/>
    </row>
    <row r="92" spans="1:3" ht="12.75">
      <c r="A92" s="106"/>
      <c r="B92" s="106"/>
      <c r="C92" s="106"/>
    </row>
    <row r="93" spans="1:3" ht="12.75">
      <c r="A93" s="106"/>
      <c r="B93" s="106"/>
      <c r="C93" s="106"/>
    </row>
    <row r="94" spans="1:3" ht="12.75">
      <c r="A94" s="106"/>
      <c r="B94" s="106"/>
      <c r="C94" s="106"/>
    </row>
    <row r="95" spans="1:3" ht="12.75">
      <c r="A95" s="106"/>
      <c r="B95" s="106"/>
      <c r="C95" s="106"/>
    </row>
    <row r="96" spans="1:3" ht="12.75">
      <c r="A96" s="106"/>
      <c r="B96" s="106"/>
      <c r="C96" s="106"/>
    </row>
    <row r="97" spans="1:3" ht="12.75">
      <c r="A97" s="106"/>
      <c r="B97" s="106"/>
      <c r="C97" s="106"/>
    </row>
    <row r="98" spans="1:3" ht="12.75">
      <c r="A98" s="106"/>
      <c r="B98" s="106"/>
      <c r="C98" s="106"/>
    </row>
    <row r="99" spans="1:3" ht="12.75">
      <c r="A99" s="106"/>
      <c r="B99" s="106"/>
      <c r="C99" s="106"/>
    </row>
    <row r="100" spans="1:3" ht="12.75">
      <c r="A100" s="106"/>
      <c r="B100" s="106"/>
      <c r="C100" s="106"/>
    </row>
    <row r="101" spans="1:3" ht="12.75">
      <c r="A101" s="106"/>
      <c r="B101" s="106"/>
      <c r="C101" s="106"/>
    </row>
    <row r="102" spans="1:3" ht="12.75">
      <c r="A102" s="106"/>
      <c r="B102" s="106"/>
      <c r="C102" s="106"/>
    </row>
    <row r="103" spans="1:3" ht="12.75">
      <c r="A103" s="106"/>
      <c r="B103" s="106"/>
      <c r="C103" s="106"/>
    </row>
    <row r="104" spans="1:3" ht="12.75">
      <c r="A104" s="106"/>
      <c r="B104" s="106"/>
      <c r="C104" s="106"/>
    </row>
    <row r="105" spans="1:3" ht="12.75">
      <c r="A105" s="106"/>
      <c r="B105" s="106"/>
      <c r="C105" s="106"/>
    </row>
    <row r="106" spans="1:3" ht="12.75">
      <c r="A106" s="106"/>
      <c r="B106" s="106"/>
      <c r="C106" s="106"/>
    </row>
    <row r="107" spans="1:3" ht="12.75">
      <c r="A107" s="106"/>
      <c r="B107" s="106"/>
      <c r="C107" s="106"/>
    </row>
    <row r="108" spans="1:3" ht="12.75">
      <c r="A108" s="106"/>
      <c r="B108" s="106"/>
      <c r="C108" s="106"/>
    </row>
    <row r="109" spans="1:3" ht="12.75">
      <c r="A109" s="106"/>
      <c r="B109" s="106"/>
      <c r="C109" s="106"/>
    </row>
    <row r="110" spans="1:3" ht="12.75">
      <c r="A110" s="106"/>
      <c r="B110" s="106"/>
      <c r="C110" s="106"/>
    </row>
    <row r="111" spans="1:3" ht="12.75">
      <c r="A111" s="106"/>
      <c r="B111" s="106"/>
      <c r="C111" s="106"/>
    </row>
    <row r="112" spans="1:3" ht="12.75">
      <c r="A112" s="106"/>
      <c r="B112" s="106"/>
      <c r="C112" s="106"/>
    </row>
    <row r="113" spans="1:3" ht="12.75">
      <c r="A113" s="106"/>
      <c r="B113" s="106"/>
      <c r="C113" s="106"/>
    </row>
    <row r="114" spans="1:3" ht="12.75">
      <c r="A114" s="106"/>
      <c r="B114" s="106"/>
      <c r="C114" s="106"/>
    </row>
    <row r="115" spans="1:3" ht="12.75">
      <c r="A115" s="106"/>
      <c r="B115" s="106"/>
      <c r="C115" s="106"/>
    </row>
    <row r="116" spans="1:3" ht="12.75">
      <c r="A116" s="106"/>
      <c r="B116" s="106"/>
      <c r="C116" s="106"/>
    </row>
    <row r="117" spans="1:3" ht="12.75">
      <c r="A117" s="106"/>
      <c r="B117" s="106"/>
      <c r="C117" s="106"/>
    </row>
    <row r="118" spans="1:3" ht="12.75">
      <c r="A118" s="106"/>
      <c r="B118" s="106"/>
      <c r="C118" s="106"/>
    </row>
    <row r="119" spans="1:3" ht="12.75">
      <c r="A119" s="106"/>
      <c r="B119" s="106"/>
      <c r="C119" s="106"/>
    </row>
  </sheetData>
  <sheetProtection/>
  <mergeCells count="14">
    <mergeCell ref="A3:D3"/>
    <mergeCell ref="A4:C5"/>
    <mergeCell ref="D4:D5"/>
    <mergeCell ref="A7:C8"/>
    <mergeCell ref="D7:D8"/>
    <mergeCell ref="A9:A25"/>
    <mergeCell ref="D9:D25"/>
    <mergeCell ref="A26:A30"/>
    <mergeCell ref="D26:D30"/>
    <mergeCell ref="A31:A33"/>
    <mergeCell ref="D31:D33"/>
    <mergeCell ref="A34:A40"/>
    <mergeCell ref="D34:D45"/>
    <mergeCell ref="A41:A45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1.00390625" style="0" customWidth="1"/>
    <col min="2" max="2" width="9.28125" style="23" customWidth="1"/>
    <col min="3" max="3" width="7.140625" style="0" customWidth="1"/>
    <col min="4" max="4" width="10.28125" style="0" customWidth="1"/>
  </cols>
  <sheetData>
    <row r="1" spans="2:14" ht="12.75">
      <c r="B1" s="180">
        <v>2019</v>
      </c>
      <c r="D1" s="180">
        <v>2020</v>
      </c>
      <c r="F1" s="308" t="s">
        <v>1099</v>
      </c>
      <c r="G1" s="308"/>
      <c r="H1" s="308"/>
      <c r="I1" s="308"/>
      <c r="J1" s="308"/>
      <c r="K1" s="308"/>
      <c r="L1" s="308"/>
      <c r="M1" s="308"/>
      <c r="N1" s="308"/>
    </row>
    <row r="2" spans="1:4" ht="12.75">
      <c r="A2" t="s">
        <v>837</v>
      </c>
      <c r="B2" s="23">
        <v>0</v>
      </c>
      <c r="D2" s="23">
        <v>0</v>
      </c>
    </row>
    <row r="3" spans="1:4" ht="12.75">
      <c r="A3" t="s">
        <v>838</v>
      </c>
      <c r="B3" s="23">
        <v>45</v>
      </c>
      <c r="D3" s="23">
        <v>112</v>
      </c>
    </row>
    <row r="4" spans="1:4" ht="12.75">
      <c r="A4" t="s">
        <v>525</v>
      </c>
      <c r="B4" s="23">
        <v>290</v>
      </c>
      <c r="D4" s="23">
        <v>250</v>
      </c>
    </row>
    <row r="5" spans="1:4" ht="12.75">
      <c r="A5" t="s">
        <v>527</v>
      </c>
      <c r="B5" s="23">
        <v>13874</v>
      </c>
      <c r="D5" s="23">
        <v>13854</v>
      </c>
    </row>
    <row r="6" spans="1:4" ht="12.75">
      <c r="A6" t="s">
        <v>839</v>
      </c>
      <c r="B6" s="23">
        <v>1549</v>
      </c>
      <c r="D6" s="23">
        <v>917</v>
      </c>
    </row>
    <row r="7" spans="1:4" ht="12.75">
      <c r="A7" t="s">
        <v>840</v>
      </c>
      <c r="B7" s="23">
        <v>-321</v>
      </c>
      <c r="D7" s="23">
        <v>-303</v>
      </c>
    </row>
    <row r="8" spans="1:4" ht="12.75">
      <c r="A8" s="186" t="s">
        <v>1100</v>
      </c>
      <c r="C8" t="s">
        <v>841</v>
      </c>
      <c r="D8" s="23"/>
    </row>
    <row r="9" spans="1:4" ht="12.75">
      <c r="A9" t="s">
        <v>842</v>
      </c>
      <c r="B9" s="185">
        <f>((7137/100)*2)*-1</f>
        <v>-142.74</v>
      </c>
      <c r="D9" s="191">
        <v>-229</v>
      </c>
    </row>
    <row r="10" spans="1:4" ht="12.75">
      <c r="A10" t="s">
        <v>843</v>
      </c>
      <c r="C10" t="s">
        <v>841</v>
      </c>
      <c r="D10" s="23"/>
    </row>
    <row r="11" spans="2:4" ht="12.75">
      <c r="B11" s="183">
        <f>SUM(B2:B10)</f>
        <v>15294.26</v>
      </c>
      <c r="D11" s="23">
        <f>SUM(D2:D10)</f>
        <v>14601</v>
      </c>
    </row>
    <row r="12" ht="12.75"/>
    <row r="13" spans="1:4" ht="25.5">
      <c r="A13" s="38" t="s">
        <v>161</v>
      </c>
      <c r="B13" s="114">
        <f>B11/4*12.5</f>
        <v>47794.5625</v>
      </c>
      <c r="D13" s="114">
        <f>D11/4*12.5</f>
        <v>45628.125</v>
      </c>
    </row>
    <row r="14" ht="12.75"/>
    <row r="15" ht="12.75"/>
    <row r="16" ht="12.75"/>
    <row r="17" ht="12.75"/>
    <row r="18" ht="12.75"/>
    <row r="19" ht="12.75"/>
  </sheetData>
  <sheetProtection/>
  <mergeCells count="1">
    <mergeCell ref="F1:N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="90" zoomScaleNormal="85" zoomScaleSheetLayoutView="90" zoomScalePageLayoutView="0" workbookViewId="0" topLeftCell="B1">
      <selection activeCell="D7" sqref="D7"/>
    </sheetView>
  </sheetViews>
  <sheetFormatPr defaultColWidth="9.140625" defaultRowHeight="12.75" outlineLevelRow="1"/>
  <cols>
    <col min="1" max="1" width="10.7109375" style="0" customWidth="1"/>
    <col min="2" max="2" width="104.28125" style="0" customWidth="1"/>
    <col min="3" max="3" width="3.57421875" style="0" customWidth="1"/>
    <col min="4" max="4" width="11.00390625" style="34" customWidth="1"/>
    <col min="5" max="5" width="14.57421875" style="0" customWidth="1"/>
  </cols>
  <sheetData>
    <row r="1" spans="2:5" ht="23.25">
      <c r="B1" s="239" t="s">
        <v>0</v>
      </c>
      <c r="C1" s="240"/>
      <c r="D1" s="240"/>
      <c r="E1" s="240"/>
    </row>
    <row r="2" spans="2:4" ht="12.75">
      <c r="B2" s="4" t="s">
        <v>1</v>
      </c>
      <c r="D2"/>
    </row>
    <row r="3" spans="2:5" ht="12.75">
      <c r="B3" s="4" t="s">
        <v>2</v>
      </c>
      <c r="C3" s="240"/>
      <c r="D3" s="240"/>
      <c r="E3" s="240"/>
    </row>
    <row r="4" spans="2:5" ht="12.75">
      <c r="B4" s="4" t="s">
        <v>3</v>
      </c>
      <c r="C4" s="240"/>
      <c r="D4" s="240"/>
      <c r="E4" s="240"/>
    </row>
    <row r="5" spans="2:5" ht="15">
      <c r="B5" s="241" t="s">
        <v>104</v>
      </c>
      <c r="C5" s="240"/>
      <c r="D5" s="240"/>
      <c r="E5" s="240"/>
    </row>
    <row r="6" spans="3:5" ht="12.75">
      <c r="C6" s="1" t="s">
        <v>105</v>
      </c>
      <c r="D6" s="39"/>
      <c r="E6" s="27"/>
    </row>
    <row r="7" spans="2:5" ht="12.75">
      <c r="B7" s="2" t="s">
        <v>106</v>
      </c>
      <c r="C7" s="1">
        <v>1</v>
      </c>
      <c r="D7" s="32">
        <f>D8</f>
        <v>54493.267386</v>
      </c>
      <c r="E7" s="28"/>
    </row>
    <row r="8" spans="2:5" ht="12.75">
      <c r="B8" s="2" t="s">
        <v>107</v>
      </c>
      <c r="C8" s="1">
        <v>2</v>
      </c>
      <c r="D8" s="32">
        <f>D10+D57+D71</f>
        <v>54493.267386</v>
      </c>
      <c r="E8" s="28"/>
    </row>
    <row r="9" spans="2:5" ht="12.75">
      <c r="B9" s="2" t="s">
        <v>108</v>
      </c>
      <c r="C9" s="1">
        <v>3</v>
      </c>
      <c r="D9" s="32"/>
      <c r="E9" s="28"/>
    </row>
    <row r="10" spans="2:5" ht="12.75">
      <c r="B10" s="2" t="s">
        <v>109</v>
      </c>
      <c r="C10" s="1">
        <v>4</v>
      </c>
      <c r="D10" s="36">
        <f>D12</f>
        <v>8851.977976</v>
      </c>
      <c r="E10" s="28"/>
    </row>
    <row r="11" spans="2:5" ht="12.75">
      <c r="B11" s="2" t="s">
        <v>110</v>
      </c>
      <c r="C11" s="1">
        <v>5</v>
      </c>
      <c r="D11" s="36">
        <f>D12</f>
        <v>8851.977976</v>
      </c>
      <c r="E11" s="28"/>
    </row>
    <row r="12" spans="2:5" ht="12.75">
      <c r="B12" s="2" t="s">
        <v>111</v>
      </c>
      <c r="C12" s="1">
        <v>6</v>
      </c>
      <c r="D12" s="36">
        <f>SUM(D13:D34)</f>
        <v>8851.977976</v>
      </c>
      <c r="E12" s="28"/>
    </row>
    <row r="13" spans="1:5" ht="12.75">
      <c r="A13" s="31" t="s">
        <v>360</v>
      </c>
      <c r="B13" s="24" t="s">
        <v>112</v>
      </c>
      <c r="C13" s="25">
        <v>7</v>
      </c>
      <c r="D13" s="33">
        <v>0</v>
      </c>
      <c r="E13" s="29"/>
    </row>
    <row r="14" spans="2:5" ht="12.75" hidden="1" outlineLevel="1">
      <c r="B14" s="2" t="s">
        <v>113</v>
      </c>
      <c r="C14" s="1">
        <v>8</v>
      </c>
      <c r="D14" s="32"/>
      <c r="E14" s="28"/>
    </row>
    <row r="15" spans="2:5" ht="12.75" hidden="1" outlineLevel="1">
      <c r="B15" s="2" t="s">
        <v>114</v>
      </c>
      <c r="C15" s="1">
        <v>9</v>
      </c>
      <c r="D15" s="32"/>
      <c r="E15" s="28"/>
    </row>
    <row r="16" spans="2:5" ht="12.75" hidden="1" outlineLevel="1">
      <c r="B16" s="2" t="s">
        <v>115</v>
      </c>
      <c r="C16" s="1">
        <v>10</v>
      </c>
      <c r="D16" s="32"/>
      <c r="E16" s="28"/>
    </row>
    <row r="17" spans="2:5" ht="12.75" hidden="1" outlineLevel="1">
      <c r="B17" s="2" t="s">
        <v>116</v>
      </c>
      <c r="C17" s="1">
        <v>11</v>
      </c>
      <c r="D17" s="32"/>
      <c r="E17" s="28"/>
    </row>
    <row r="18" spans="2:5" ht="12.75" collapsed="1">
      <c r="B18" s="24" t="s">
        <v>117</v>
      </c>
      <c r="C18" s="25">
        <v>12</v>
      </c>
      <c r="D18" s="33">
        <f>FIS10!C14*0.2</f>
        <v>1282.2045960000003</v>
      </c>
      <c r="E18" s="29"/>
    </row>
    <row r="19" spans="2:5" ht="12.75">
      <c r="B19" s="24" t="s">
        <v>118</v>
      </c>
      <c r="C19" s="25">
        <v>13</v>
      </c>
      <c r="D19" s="33">
        <f>SUM('Rozvaha 1-12'!F39:F41)/1000+'Rozvaha 1-12'!F42/1000</f>
        <v>4773.717570000001</v>
      </c>
      <c r="E19" s="29"/>
    </row>
    <row r="20" spans="2:5" ht="12.75" hidden="1" outlineLevel="1">
      <c r="B20" s="2" t="s">
        <v>119</v>
      </c>
      <c r="C20" s="1">
        <v>14</v>
      </c>
      <c r="D20" s="32"/>
      <c r="E20" s="28"/>
    </row>
    <row r="21" spans="2:5" ht="12.75" hidden="1" outlineLevel="1">
      <c r="B21" s="2" t="s">
        <v>120</v>
      </c>
      <c r="C21" s="1">
        <v>15</v>
      </c>
      <c r="D21" s="32"/>
      <c r="E21" s="28"/>
    </row>
    <row r="22" spans="2:5" ht="12.75" hidden="1" outlineLevel="1">
      <c r="B22" s="2" t="s">
        <v>121</v>
      </c>
      <c r="C22" s="1">
        <v>16</v>
      </c>
      <c r="D22" s="32"/>
      <c r="E22" s="28"/>
    </row>
    <row r="23" spans="2:5" ht="12.75" hidden="1" outlineLevel="1">
      <c r="B23" s="2" t="s">
        <v>122</v>
      </c>
      <c r="C23" s="1">
        <v>17</v>
      </c>
      <c r="D23" s="32"/>
      <c r="E23" s="28"/>
    </row>
    <row r="24" spans="2:5" ht="12.75" hidden="1" outlineLevel="1">
      <c r="B24" s="2" t="s">
        <v>123</v>
      </c>
      <c r="C24" s="1">
        <v>18</v>
      </c>
      <c r="D24" s="32"/>
      <c r="E24" s="28"/>
    </row>
    <row r="25" spans="2:5" ht="12.75" hidden="1" outlineLevel="1">
      <c r="B25" s="2" t="s">
        <v>124</v>
      </c>
      <c r="C25" s="1">
        <v>19</v>
      </c>
      <c r="D25" s="32"/>
      <c r="E25" s="28"/>
    </row>
    <row r="26" spans="2:5" ht="12.75" hidden="1" outlineLevel="1">
      <c r="B26" s="2" t="s">
        <v>125</v>
      </c>
      <c r="C26" s="1">
        <v>20</v>
      </c>
      <c r="D26" s="32"/>
      <c r="E26" s="28"/>
    </row>
    <row r="27" spans="2:5" ht="12.75" hidden="1" outlineLevel="1">
      <c r="B27" s="2" t="s">
        <v>126</v>
      </c>
      <c r="C27" s="1">
        <v>21</v>
      </c>
      <c r="D27" s="32"/>
      <c r="E27" s="28"/>
    </row>
    <row r="28" spans="2:5" ht="12.75" collapsed="1">
      <c r="B28" s="24" t="s">
        <v>127</v>
      </c>
      <c r="C28" s="25">
        <v>22</v>
      </c>
      <c r="D28" s="33">
        <f>SUM('Rozvaha 1-12'!F59:F67)/1000-'Rozvaha 1-12'!F105/1000</f>
        <v>2796.0558099999994</v>
      </c>
      <c r="E28" s="29"/>
    </row>
    <row r="29" spans="2:5" ht="12.75" hidden="1" outlineLevel="1">
      <c r="B29" s="2" t="s">
        <v>128</v>
      </c>
      <c r="C29" s="1">
        <v>23</v>
      </c>
      <c r="D29" s="32"/>
      <c r="E29" s="28"/>
    </row>
    <row r="30" spans="2:5" ht="12.75" hidden="1" outlineLevel="1">
      <c r="B30" s="2" t="s">
        <v>129</v>
      </c>
      <c r="C30" s="1">
        <v>24</v>
      </c>
      <c r="D30" s="32"/>
      <c r="E30" s="28"/>
    </row>
    <row r="31" spans="2:5" ht="12.75" hidden="1" outlineLevel="1">
      <c r="B31" s="2" t="s">
        <v>130</v>
      </c>
      <c r="C31" s="1">
        <v>25</v>
      </c>
      <c r="D31" s="32"/>
      <c r="E31" s="28"/>
    </row>
    <row r="32" spans="2:5" ht="12.75" hidden="1" outlineLevel="1">
      <c r="B32" s="2" t="s">
        <v>131</v>
      </c>
      <c r="C32" s="1">
        <v>26</v>
      </c>
      <c r="D32" s="32"/>
      <c r="E32" s="28"/>
    </row>
    <row r="33" spans="2:5" ht="12.75" hidden="1" outlineLevel="1">
      <c r="B33" s="2" t="s">
        <v>112</v>
      </c>
      <c r="C33" s="1">
        <v>27</v>
      </c>
      <c r="D33" s="32"/>
      <c r="E33" s="28"/>
    </row>
    <row r="34" spans="2:5" ht="12.75" hidden="1" outlineLevel="1">
      <c r="B34" s="2" t="s">
        <v>117</v>
      </c>
      <c r="C34" s="1">
        <v>28</v>
      </c>
      <c r="D34" s="32"/>
      <c r="E34" s="28"/>
    </row>
    <row r="35" spans="2:5" ht="12.75" hidden="1" outlineLevel="1">
      <c r="B35" s="2" t="s">
        <v>132</v>
      </c>
      <c r="C35" s="1">
        <v>29</v>
      </c>
      <c r="D35" s="32"/>
      <c r="E35" s="28"/>
    </row>
    <row r="36" spans="2:5" ht="12.75" hidden="1" outlineLevel="1">
      <c r="B36" s="2" t="s">
        <v>133</v>
      </c>
      <c r="C36" s="1">
        <v>30</v>
      </c>
      <c r="D36" s="32"/>
      <c r="E36" s="28"/>
    </row>
    <row r="37" spans="2:5" ht="12.75" hidden="1" outlineLevel="1">
      <c r="B37" s="2" t="s">
        <v>134</v>
      </c>
      <c r="C37" s="1">
        <v>31</v>
      </c>
      <c r="D37" s="32"/>
      <c r="E37" s="28"/>
    </row>
    <row r="38" spans="2:5" ht="12.75" hidden="1" outlineLevel="1">
      <c r="B38" s="2" t="s">
        <v>135</v>
      </c>
      <c r="C38" s="1">
        <v>32</v>
      </c>
      <c r="D38" s="32"/>
      <c r="E38" s="28"/>
    </row>
    <row r="39" spans="2:5" ht="12.75" hidden="1" outlineLevel="1">
      <c r="B39" s="2" t="s">
        <v>112</v>
      </c>
      <c r="C39" s="1">
        <v>33</v>
      </c>
      <c r="D39" s="32"/>
      <c r="E39" s="28"/>
    </row>
    <row r="40" spans="2:5" ht="12.75" hidden="1" outlineLevel="1">
      <c r="B40" s="2" t="s">
        <v>117</v>
      </c>
      <c r="C40" s="1">
        <v>34</v>
      </c>
      <c r="D40" s="32"/>
      <c r="E40" s="28"/>
    </row>
    <row r="41" spans="2:5" ht="12.75" hidden="1" outlineLevel="1">
      <c r="B41" s="2" t="s">
        <v>132</v>
      </c>
      <c r="C41" s="1">
        <v>35</v>
      </c>
      <c r="D41" s="32"/>
      <c r="E41" s="28"/>
    </row>
    <row r="42" spans="2:5" ht="12.75" hidden="1" outlineLevel="1">
      <c r="B42" s="2" t="s">
        <v>133</v>
      </c>
      <c r="C42" s="1">
        <v>36</v>
      </c>
      <c r="D42" s="32"/>
      <c r="E42" s="28"/>
    </row>
    <row r="43" spans="2:5" ht="12.75" hidden="1" outlineLevel="1">
      <c r="B43" s="2" t="s">
        <v>134</v>
      </c>
      <c r="C43" s="1">
        <v>37</v>
      </c>
      <c r="D43" s="32"/>
      <c r="E43" s="28"/>
    </row>
    <row r="44" spans="2:5" ht="12.75" hidden="1" outlineLevel="1">
      <c r="B44" s="2" t="s">
        <v>136</v>
      </c>
      <c r="C44" s="1">
        <v>38</v>
      </c>
      <c r="D44" s="32"/>
      <c r="E44" s="28"/>
    </row>
    <row r="45" spans="2:5" ht="12.75" hidden="1" outlineLevel="1">
      <c r="B45" s="2" t="s">
        <v>137</v>
      </c>
      <c r="C45" s="1">
        <v>39</v>
      </c>
      <c r="D45" s="32"/>
      <c r="E45" s="28"/>
    </row>
    <row r="46" spans="2:5" ht="12.75" hidden="1" outlineLevel="1">
      <c r="B46" s="2" t="s">
        <v>138</v>
      </c>
      <c r="C46" s="1">
        <v>40</v>
      </c>
      <c r="D46" s="32"/>
      <c r="E46" s="28"/>
    </row>
    <row r="47" spans="2:5" ht="12.75" hidden="1" outlineLevel="1">
      <c r="B47" s="2" t="s">
        <v>139</v>
      </c>
      <c r="C47" s="1">
        <v>41</v>
      </c>
      <c r="D47" s="32"/>
      <c r="E47" s="28"/>
    </row>
    <row r="48" spans="2:5" ht="12.75" hidden="1" outlineLevel="1">
      <c r="B48" s="2" t="s">
        <v>140</v>
      </c>
      <c r="C48" s="1">
        <v>42</v>
      </c>
      <c r="D48" s="32"/>
      <c r="E48" s="28"/>
    </row>
    <row r="49" spans="2:5" ht="12.75" hidden="1" outlineLevel="1">
      <c r="B49" s="2" t="s">
        <v>141</v>
      </c>
      <c r="C49" s="1">
        <v>43</v>
      </c>
      <c r="D49" s="32"/>
      <c r="E49" s="28"/>
    </row>
    <row r="50" spans="2:5" ht="12.75" hidden="1" outlineLevel="1">
      <c r="B50" s="2" t="s">
        <v>142</v>
      </c>
      <c r="C50" s="1">
        <v>44</v>
      </c>
      <c r="D50" s="32"/>
      <c r="E50" s="28"/>
    </row>
    <row r="51" spans="2:5" ht="12.75" hidden="1" outlineLevel="1">
      <c r="B51" s="2" t="s">
        <v>129</v>
      </c>
      <c r="C51" s="1">
        <v>45</v>
      </c>
      <c r="D51" s="32"/>
      <c r="E51" s="28"/>
    </row>
    <row r="52" spans="2:5" ht="12.75" hidden="1" outlineLevel="1">
      <c r="B52" s="2" t="s">
        <v>143</v>
      </c>
      <c r="C52" s="1">
        <v>46</v>
      </c>
      <c r="D52" s="32"/>
      <c r="E52" s="28"/>
    </row>
    <row r="53" spans="2:5" ht="12.75" hidden="1" outlineLevel="1">
      <c r="B53" s="2" t="s">
        <v>144</v>
      </c>
      <c r="C53" s="1">
        <v>47</v>
      </c>
      <c r="D53" s="32"/>
      <c r="E53" s="28"/>
    </row>
    <row r="54" spans="2:5" ht="12.75" hidden="1" outlineLevel="1">
      <c r="B54" s="2" t="s">
        <v>145</v>
      </c>
      <c r="C54" s="1">
        <v>48</v>
      </c>
      <c r="D54" s="32"/>
      <c r="E54" s="28"/>
    </row>
    <row r="55" spans="2:5" ht="12.75" hidden="1" outlineLevel="1">
      <c r="B55" s="2" t="s">
        <v>146</v>
      </c>
      <c r="C55" s="1">
        <v>49</v>
      </c>
      <c r="D55" s="32"/>
      <c r="E55" s="28"/>
    </row>
    <row r="56" spans="2:5" ht="12.75" hidden="1" outlineLevel="1">
      <c r="B56" s="2" t="s">
        <v>147</v>
      </c>
      <c r="C56" s="1">
        <v>50</v>
      </c>
      <c r="D56" s="32"/>
      <c r="E56" s="28"/>
    </row>
    <row r="57" spans="2:6" ht="12.75" collapsed="1">
      <c r="B57" s="2" t="s">
        <v>148</v>
      </c>
      <c r="C57" s="1">
        <v>51</v>
      </c>
      <c r="D57" s="32">
        <f>D58</f>
        <v>13.164410000000004</v>
      </c>
      <c r="E57" s="28"/>
      <c r="F57" s="34"/>
    </row>
    <row r="58" spans="2:5" ht="12.75">
      <c r="B58" s="2" t="s">
        <v>149</v>
      </c>
      <c r="C58" s="1">
        <v>52</v>
      </c>
      <c r="D58" s="32">
        <f>SUM(D62:D66)</f>
        <v>13.164410000000004</v>
      </c>
      <c r="E58" s="28"/>
    </row>
    <row r="59" spans="2:5" ht="12.75" hidden="1" outlineLevel="1">
      <c r="B59" s="2" t="s">
        <v>150</v>
      </c>
      <c r="C59" s="1">
        <v>53</v>
      </c>
      <c r="D59" s="32"/>
      <c r="E59" s="28"/>
    </row>
    <row r="60" spans="2:5" ht="12.75" hidden="1" outlineLevel="1">
      <c r="B60" s="2" t="s">
        <v>141</v>
      </c>
      <c r="C60" s="1">
        <v>54</v>
      </c>
      <c r="D60" s="32"/>
      <c r="E60" s="28"/>
    </row>
    <row r="61" spans="2:5" ht="12.75" hidden="1" outlineLevel="1">
      <c r="B61" s="2" t="s">
        <v>151</v>
      </c>
      <c r="C61" s="1">
        <v>55</v>
      </c>
      <c r="D61" s="32"/>
      <c r="E61" s="28"/>
    </row>
    <row r="62" spans="2:5" ht="12.75" hidden="1" outlineLevel="1">
      <c r="B62" s="2" t="s">
        <v>152</v>
      </c>
      <c r="C62" s="1">
        <v>56</v>
      </c>
      <c r="D62" s="32"/>
      <c r="E62" s="28"/>
    </row>
    <row r="63" spans="2:5" ht="12.75" hidden="1" outlineLevel="1">
      <c r="B63" s="2" t="s">
        <v>153</v>
      </c>
      <c r="C63" s="1">
        <v>57</v>
      </c>
      <c r="D63" s="32"/>
      <c r="E63" s="28"/>
    </row>
    <row r="64" spans="2:5" ht="12.75" collapsed="1">
      <c r="B64" s="24" t="s">
        <v>154</v>
      </c>
      <c r="C64" s="25">
        <v>58</v>
      </c>
      <c r="D64" s="127">
        <f>(SUM('Rozvaha 1-12'!F12:F17)/1000+('Rozvaha 1-12'!F40+'Rozvaha 1-12'!F41)/1000+'Rozvaha 1-12'!F50/1000-'Rozvaha 1-12'!F115/1000)*-1</f>
        <v>13.164410000000004</v>
      </c>
      <c r="E64" s="29"/>
    </row>
    <row r="65" spans="2:5" ht="12.75" hidden="1" outlineLevel="1">
      <c r="B65" s="2" t="s">
        <v>155</v>
      </c>
      <c r="C65" s="1">
        <v>59</v>
      </c>
      <c r="D65" s="32"/>
      <c r="E65" s="29"/>
    </row>
    <row r="66" spans="2:5" ht="12.75" hidden="1" outlineLevel="1">
      <c r="B66" s="2" t="s">
        <v>156</v>
      </c>
      <c r="C66" s="1">
        <v>60</v>
      </c>
      <c r="D66" s="32"/>
      <c r="E66" s="29"/>
    </row>
    <row r="67" spans="2:5" ht="12.75" hidden="1" outlineLevel="1">
      <c r="B67" s="2" t="s">
        <v>157</v>
      </c>
      <c r="C67" s="1">
        <v>61</v>
      </c>
      <c r="D67" s="32"/>
      <c r="E67" s="29"/>
    </row>
    <row r="68" spans="2:5" ht="12.75" hidden="1" outlineLevel="1">
      <c r="B68" s="2" t="s">
        <v>158</v>
      </c>
      <c r="C68" s="1">
        <v>62</v>
      </c>
      <c r="D68" s="32"/>
      <c r="E68" s="29"/>
    </row>
    <row r="69" spans="2:5" ht="12.75" hidden="1" outlineLevel="1">
      <c r="B69" s="2" t="s">
        <v>159</v>
      </c>
      <c r="C69" s="1">
        <v>63</v>
      </c>
      <c r="D69" s="32"/>
      <c r="E69" s="29"/>
    </row>
    <row r="70" spans="2:5" ht="12.75" hidden="1" outlineLevel="1">
      <c r="B70" s="2" t="s">
        <v>160</v>
      </c>
      <c r="C70" s="1">
        <v>64</v>
      </c>
      <c r="D70" s="32"/>
      <c r="E70" s="29"/>
    </row>
    <row r="71" spans="2:5" ht="12.75" collapsed="1">
      <c r="B71" s="38" t="s">
        <v>161</v>
      </c>
      <c r="C71" s="25">
        <v>65</v>
      </c>
      <c r="D71" s="33">
        <f>'Dod rizik exporzice-výpočet'!D13</f>
        <v>45628.125</v>
      </c>
      <c r="E71" s="179" t="s">
        <v>1119</v>
      </c>
    </row>
    <row r="72" spans="2:5" ht="12.75">
      <c r="B72" s="2" t="s">
        <v>162</v>
      </c>
      <c r="C72" s="1">
        <v>66</v>
      </c>
      <c r="D72" s="32"/>
      <c r="E72" s="28"/>
    </row>
    <row r="73" spans="2:5" ht="12.75">
      <c r="B73" s="2" t="s">
        <v>163</v>
      </c>
      <c r="C73" s="1">
        <v>67</v>
      </c>
      <c r="D73" s="32"/>
      <c r="E73" s="28"/>
    </row>
    <row r="74" spans="2:5" ht="12.75">
      <c r="B74" s="2" t="s">
        <v>164</v>
      </c>
      <c r="C74" s="1">
        <v>68</v>
      </c>
      <c r="D74" s="32"/>
      <c r="E74" s="28"/>
    </row>
    <row r="75" spans="2:5" ht="12.75">
      <c r="B75" s="2" t="s">
        <v>165</v>
      </c>
      <c r="C75" s="1">
        <v>69</v>
      </c>
      <c r="D75" s="32"/>
      <c r="E75" s="28"/>
    </row>
    <row r="76" spans="2:5" ht="12.75">
      <c r="B76" s="2" t="s">
        <v>166</v>
      </c>
      <c r="C76" s="1">
        <v>70</v>
      </c>
      <c r="D76" s="32"/>
      <c r="E76" s="28"/>
    </row>
    <row r="77" spans="2:5" ht="12.75">
      <c r="B77" s="2" t="s">
        <v>167</v>
      </c>
      <c r="C77" s="1">
        <v>71</v>
      </c>
      <c r="D77" s="32"/>
      <c r="E77" s="28"/>
    </row>
    <row r="78" spans="2:5" ht="12.75">
      <c r="B78" s="2" t="s">
        <v>168</v>
      </c>
      <c r="C78" s="1">
        <v>72</v>
      </c>
      <c r="D78" s="32"/>
      <c r="E78" s="28"/>
    </row>
    <row r="79" spans="2:5" ht="12.75">
      <c r="B79" s="2" t="s">
        <v>169</v>
      </c>
      <c r="C79" s="1">
        <v>73</v>
      </c>
      <c r="D79" s="32"/>
      <c r="E79" s="28"/>
    </row>
    <row r="80" spans="2:5" ht="12.75">
      <c r="B80" s="2" t="s">
        <v>170</v>
      </c>
      <c r="C80" s="1">
        <v>74</v>
      </c>
      <c r="D80" s="32"/>
      <c r="E80" s="28"/>
    </row>
    <row r="81" spans="2:5" ht="12.75">
      <c r="B81" s="2" t="s">
        <v>171</v>
      </c>
      <c r="C81" s="1">
        <v>75</v>
      </c>
      <c r="D81" s="32"/>
      <c r="E81" s="28"/>
    </row>
    <row r="82" spans="2:5" ht="12.75">
      <c r="B82" s="2" t="s">
        <v>172</v>
      </c>
      <c r="C82" s="1">
        <v>76</v>
      </c>
      <c r="D82" s="32"/>
      <c r="E82" s="28"/>
    </row>
    <row r="83" spans="2:5" ht="12.75">
      <c r="B83" s="2" t="s">
        <v>173</v>
      </c>
      <c r="C83" s="1">
        <v>77</v>
      </c>
      <c r="D83" s="32"/>
      <c r="E83" s="28"/>
    </row>
  </sheetData>
  <sheetProtection/>
  <mergeCells count="4">
    <mergeCell ref="B1:E1"/>
    <mergeCell ref="C3:E3"/>
    <mergeCell ref="C4:E4"/>
    <mergeCell ref="B5:E5"/>
  </mergeCells>
  <printOptions/>
  <pageMargins left="0.75" right="0.75" top="1" bottom="1" header="0.5" footer="0.5"/>
  <pageSetup orientation="portrait" scale="63" r:id="rId1"/>
  <colBreaks count="1" manualBreakCount="1">
    <brk id="1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B1:E21"/>
  <sheetViews>
    <sheetView view="pageBreakPreview" zoomScaleNormal="80" zoomScaleSheetLayoutView="100" zoomScalePageLayoutView="0" workbookViewId="0" topLeftCell="A1">
      <selection activeCell="D8" sqref="D8"/>
    </sheetView>
  </sheetViews>
  <sheetFormatPr defaultColWidth="9.140625" defaultRowHeight="12.75"/>
  <cols>
    <col min="2" max="2" width="55.00390625" style="0" customWidth="1"/>
    <col min="3" max="3" width="3.57421875" style="0" customWidth="1"/>
    <col min="4" max="4" width="9.7109375" style="34" customWidth="1"/>
    <col min="5" max="5" width="10.28125" style="0" bestFit="1" customWidth="1"/>
  </cols>
  <sheetData>
    <row r="1" spans="2:5" ht="23.25">
      <c r="B1" s="239" t="s">
        <v>0</v>
      </c>
      <c r="C1" s="240"/>
      <c r="D1" s="240"/>
      <c r="E1" s="240"/>
    </row>
    <row r="2" spans="2:4" ht="12.75">
      <c r="B2" s="4" t="s">
        <v>1</v>
      </c>
      <c r="D2"/>
    </row>
    <row r="3" spans="2:5" ht="12.75">
      <c r="B3" s="4" t="s">
        <v>2</v>
      </c>
      <c r="C3" s="240"/>
      <c r="D3" s="240"/>
      <c r="E3" s="240"/>
    </row>
    <row r="4" spans="2:5" ht="12.75">
      <c r="B4" s="4" t="s">
        <v>3</v>
      </c>
      <c r="C4" s="240"/>
      <c r="D4" s="240"/>
      <c r="E4" s="240"/>
    </row>
    <row r="5" spans="2:5" ht="15">
      <c r="B5" s="241" t="s">
        <v>174</v>
      </c>
      <c r="C5" s="240"/>
      <c r="D5" s="240"/>
      <c r="E5" s="240"/>
    </row>
    <row r="6" spans="3:4" ht="12.75">
      <c r="C6" s="1" t="s">
        <v>175</v>
      </c>
      <c r="D6" s="39"/>
    </row>
    <row r="7" spans="2:5" ht="12.75">
      <c r="B7" s="2" t="s">
        <v>176</v>
      </c>
      <c r="C7" s="1">
        <v>1</v>
      </c>
      <c r="D7" s="32">
        <f>'m1'!D9/'m2'!D7*100</f>
        <v>15.013850760767443</v>
      </c>
      <c r="E7" t="s">
        <v>770</v>
      </c>
    </row>
    <row r="8" spans="2:5" ht="12.75">
      <c r="B8" s="2" t="s">
        <v>177</v>
      </c>
      <c r="C8" s="1">
        <v>2</v>
      </c>
      <c r="D8" s="32">
        <f>'m1'!D9-'m2'!D8*0.045</f>
        <v>5729.340807629998</v>
      </c>
      <c r="E8" s="3" t="s">
        <v>771</v>
      </c>
    </row>
    <row r="9" spans="2:5" ht="12.75">
      <c r="B9" s="2" t="s">
        <v>178</v>
      </c>
      <c r="C9" s="1">
        <v>3</v>
      </c>
      <c r="D9" s="32">
        <f>D7</f>
        <v>15.013850760767443</v>
      </c>
      <c r="E9" t="s">
        <v>770</v>
      </c>
    </row>
    <row r="10" spans="2:5" ht="12.75">
      <c r="B10" s="2" t="s">
        <v>179</v>
      </c>
      <c r="C10" s="1">
        <v>4</v>
      </c>
      <c r="D10" s="32">
        <f>'m1'!D9-'m2'!D8*0.06</f>
        <v>4911.9417968399985</v>
      </c>
      <c r="E10" s="3" t="s">
        <v>772</v>
      </c>
    </row>
    <row r="11" spans="2:5" ht="12.75">
      <c r="B11" s="2" t="s">
        <v>180</v>
      </c>
      <c r="C11" s="1">
        <v>5</v>
      </c>
      <c r="D11" s="32">
        <f>D9</f>
        <v>15.013850760767443</v>
      </c>
      <c r="E11" t="s">
        <v>770</v>
      </c>
    </row>
    <row r="12" spans="2:5" ht="12.75">
      <c r="B12" s="2" t="s">
        <v>181</v>
      </c>
      <c r="C12" s="1">
        <v>6</v>
      </c>
      <c r="D12" s="32">
        <f>'m1'!D9-'m2'!D8*0.08</f>
        <v>3822.076449119998</v>
      </c>
      <c r="E12" s="3" t="s">
        <v>773</v>
      </c>
    </row>
    <row r="13" spans="2:4" ht="12.75">
      <c r="B13" s="37" t="s">
        <v>854</v>
      </c>
      <c r="C13" s="1">
        <v>7</v>
      </c>
      <c r="D13" s="32">
        <v>10.5</v>
      </c>
    </row>
    <row r="14" spans="2:4" ht="12.75">
      <c r="B14" s="37" t="s">
        <v>855</v>
      </c>
      <c r="C14" s="1">
        <v>8</v>
      </c>
      <c r="D14" s="32">
        <v>4.5</v>
      </c>
    </row>
    <row r="15" spans="2:4" ht="12.75">
      <c r="B15" s="37" t="s">
        <v>856</v>
      </c>
      <c r="C15" s="1">
        <v>9</v>
      </c>
      <c r="D15" s="139">
        <v>6</v>
      </c>
    </row>
    <row r="16" spans="2:4" ht="15" customHeight="1">
      <c r="B16" s="140" t="s">
        <v>857</v>
      </c>
      <c r="C16" s="1">
        <v>10</v>
      </c>
      <c r="D16" s="32">
        <v>10.5</v>
      </c>
    </row>
    <row r="17" spans="2:4" ht="12.75">
      <c r="B17" s="140" t="s">
        <v>858</v>
      </c>
      <c r="C17" s="1">
        <v>11</v>
      </c>
      <c r="D17" s="32">
        <v>4.5</v>
      </c>
    </row>
    <row r="18" spans="2:4" ht="12.75">
      <c r="B18" s="140" t="s">
        <v>859</v>
      </c>
      <c r="C18" s="1">
        <v>12</v>
      </c>
      <c r="D18" s="139">
        <v>6</v>
      </c>
    </row>
    <row r="19" spans="2:4" ht="25.5">
      <c r="B19" s="37" t="s">
        <v>860</v>
      </c>
      <c r="C19" s="1">
        <v>13</v>
      </c>
      <c r="D19" s="32">
        <v>10.5</v>
      </c>
    </row>
    <row r="20" spans="2:4" ht="12.75">
      <c r="B20" s="37" t="s">
        <v>861</v>
      </c>
      <c r="C20" s="1">
        <v>14</v>
      </c>
      <c r="D20" s="32">
        <v>4.5</v>
      </c>
    </row>
    <row r="21" spans="2:4" ht="12.75">
      <c r="B21" s="37" t="s">
        <v>862</v>
      </c>
      <c r="C21" s="1">
        <v>15</v>
      </c>
      <c r="D21" s="139">
        <v>6</v>
      </c>
    </row>
  </sheetData>
  <sheetProtection/>
  <mergeCells count="4">
    <mergeCell ref="B1:E1"/>
    <mergeCell ref="C3:E3"/>
    <mergeCell ref="C4:E4"/>
    <mergeCell ref="B5:E5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view="pageBreakPreview" zoomScale="90" zoomScaleNormal="85" zoomScaleSheetLayoutView="90" zoomScalePageLayoutView="0" workbookViewId="0" topLeftCell="A1">
      <selection activeCell="D29" sqref="D29"/>
    </sheetView>
  </sheetViews>
  <sheetFormatPr defaultColWidth="9.140625" defaultRowHeight="12.75"/>
  <cols>
    <col min="1" max="1" width="1.421875" style="0" customWidth="1"/>
    <col min="2" max="2" width="88.140625" style="0" customWidth="1"/>
    <col min="3" max="3" width="3.57421875" style="0" customWidth="1"/>
    <col min="4" max="4" width="9.7109375" style="34" customWidth="1"/>
  </cols>
  <sheetData>
    <row r="1" spans="2:5" ht="23.25">
      <c r="B1" s="239" t="s">
        <v>0</v>
      </c>
      <c r="C1" s="240"/>
      <c r="D1" s="240"/>
      <c r="E1" s="240"/>
    </row>
    <row r="2" spans="2:4" ht="12.75">
      <c r="B2" s="4" t="s">
        <v>1</v>
      </c>
      <c r="D2"/>
    </row>
    <row r="3" spans="2:5" ht="12.75">
      <c r="B3" s="4" t="s">
        <v>2</v>
      </c>
      <c r="C3" s="240"/>
      <c r="D3" s="240"/>
      <c r="E3" s="240"/>
    </row>
    <row r="4" spans="2:5" ht="12.75">
      <c r="B4" s="4" t="s">
        <v>3</v>
      </c>
      <c r="C4" s="240"/>
      <c r="D4" s="240"/>
      <c r="E4" s="240"/>
    </row>
    <row r="5" spans="2:5" ht="15">
      <c r="B5" s="241" t="s">
        <v>182</v>
      </c>
      <c r="C5" s="240"/>
      <c r="D5" s="240"/>
      <c r="E5" s="240"/>
    </row>
    <row r="6" spans="3:4" ht="12.75">
      <c r="C6" s="1" t="s">
        <v>183</v>
      </c>
      <c r="D6" s="39" t="s">
        <v>365</v>
      </c>
    </row>
    <row r="7" spans="2:4" ht="12.75">
      <c r="B7" s="2" t="s">
        <v>184</v>
      </c>
      <c r="C7" s="1">
        <v>1</v>
      </c>
      <c r="D7" s="32"/>
    </row>
    <row r="8" spans="2:4" ht="12.75">
      <c r="B8" s="2" t="s">
        <v>185</v>
      </c>
      <c r="C8" s="1">
        <v>2</v>
      </c>
      <c r="D8" s="32"/>
    </row>
    <row r="9" spans="2:4" ht="12.75">
      <c r="B9" s="2" t="s">
        <v>186</v>
      </c>
      <c r="C9" s="1">
        <v>3</v>
      </c>
      <c r="D9" s="32"/>
    </row>
    <row r="10" spans="2:4" ht="12.75">
      <c r="B10" s="2" t="s">
        <v>187</v>
      </c>
      <c r="C10" s="1">
        <v>4</v>
      </c>
      <c r="D10" s="32"/>
    </row>
    <row r="11" spans="2:4" ht="12.75">
      <c r="B11" s="2" t="s">
        <v>188</v>
      </c>
      <c r="C11" s="1">
        <v>5</v>
      </c>
      <c r="D11" s="32"/>
    </row>
    <row r="12" spans="2:4" ht="25.5">
      <c r="B12" s="2" t="s">
        <v>189</v>
      </c>
      <c r="C12" s="1">
        <v>6</v>
      </c>
      <c r="D12" s="32"/>
    </row>
    <row r="13" spans="2:4" ht="25.5">
      <c r="B13" s="2" t="s">
        <v>190</v>
      </c>
      <c r="C13" s="1">
        <v>7</v>
      </c>
      <c r="D13" s="32"/>
    </row>
    <row r="14" spans="2:4" ht="25.5">
      <c r="B14" s="2" t="s">
        <v>191</v>
      </c>
      <c r="C14" s="1">
        <v>8</v>
      </c>
      <c r="D14" s="32"/>
    </row>
    <row r="15" spans="2:4" ht="25.5">
      <c r="B15" s="2" t="s">
        <v>192</v>
      </c>
      <c r="C15" s="1">
        <v>9</v>
      </c>
      <c r="D15" s="32"/>
    </row>
    <row r="16" spans="2:4" ht="25.5">
      <c r="B16" s="2" t="s">
        <v>193</v>
      </c>
      <c r="C16" s="1">
        <v>10</v>
      </c>
      <c r="D16" s="32"/>
    </row>
    <row r="17" spans="2:4" ht="25.5">
      <c r="B17" s="2" t="s">
        <v>194</v>
      </c>
      <c r="C17" s="1">
        <v>11</v>
      </c>
      <c r="D17" s="32"/>
    </row>
    <row r="18" spans="2:4" ht="12.75">
      <c r="B18" s="2" t="s">
        <v>195</v>
      </c>
      <c r="C18" s="1">
        <v>12</v>
      </c>
      <c r="D18" s="32"/>
    </row>
    <row r="19" spans="2:4" ht="12.75">
      <c r="B19" s="2" t="s">
        <v>196</v>
      </c>
      <c r="C19" s="1">
        <v>13</v>
      </c>
      <c r="D19" s="32"/>
    </row>
    <row r="20" spans="2:4" ht="12.75">
      <c r="B20" s="2" t="s">
        <v>197</v>
      </c>
      <c r="C20" s="1">
        <v>14</v>
      </c>
      <c r="D20" s="32"/>
    </row>
    <row r="21" spans="2:4" ht="12.75">
      <c r="B21" s="2" t="s">
        <v>198</v>
      </c>
      <c r="C21" s="1">
        <v>15</v>
      </c>
      <c r="D21" s="32"/>
    </row>
    <row r="22" spans="2:4" ht="25.5">
      <c r="B22" s="2" t="s">
        <v>199</v>
      </c>
      <c r="C22" s="1">
        <v>16</v>
      </c>
      <c r="D22" s="32"/>
    </row>
    <row r="23" spans="2:4" ht="12.75">
      <c r="B23" s="2" t="s">
        <v>200</v>
      </c>
      <c r="C23" s="1">
        <v>17</v>
      </c>
      <c r="D23" s="32"/>
    </row>
    <row r="24" spans="2:4" ht="12.75">
      <c r="B24" s="2" t="s">
        <v>201</v>
      </c>
      <c r="C24" s="1">
        <v>18</v>
      </c>
      <c r="D24" s="32"/>
    </row>
    <row r="25" spans="2:4" ht="25.5">
      <c r="B25" s="2" t="s">
        <v>202</v>
      </c>
      <c r="C25" s="1">
        <v>19</v>
      </c>
      <c r="D25" s="32"/>
    </row>
    <row r="26" spans="2:4" ht="12.75">
      <c r="B26" s="2" t="s">
        <v>203</v>
      </c>
      <c r="C26" s="1">
        <v>20</v>
      </c>
      <c r="D26" s="32"/>
    </row>
    <row r="27" spans="2:4" ht="25.5">
      <c r="B27" s="2" t="s">
        <v>204</v>
      </c>
      <c r="C27" s="1">
        <v>21</v>
      </c>
      <c r="D27" s="32"/>
    </row>
    <row r="28" spans="2:4" ht="12.75">
      <c r="B28" s="2" t="s">
        <v>205</v>
      </c>
      <c r="C28" s="1">
        <v>25</v>
      </c>
      <c r="D28" s="32">
        <f>'m1'!D7/10</f>
        <v>818.1537839999999</v>
      </c>
    </row>
    <row r="29" spans="2:4" ht="12.75">
      <c r="B29" s="2" t="s">
        <v>206</v>
      </c>
      <c r="C29" s="1">
        <v>26</v>
      </c>
      <c r="D29" s="32">
        <f>D28</f>
        <v>818.1537839999999</v>
      </c>
    </row>
    <row r="30" spans="2:4" ht="12.75">
      <c r="B30" s="2" t="s">
        <v>207</v>
      </c>
      <c r="C30" s="1">
        <v>27</v>
      </c>
      <c r="D30" s="32">
        <f>'m1'!D7*0.1765</f>
        <v>1444.0414287599997</v>
      </c>
    </row>
    <row r="31" spans="2:4" ht="12.75">
      <c r="B31" s="2" t="s">
        <v>208</v>
      </c>
      <c r="C31" s="1">
        <v>28</v>
      </c>
      <c r="D31" s="32">
        <f>'m1'!D9</f>
        <v>8181.537839999998</v>
      </c>
    </row>
    <row r="32" spans="2:4" ht="12.75">
      <c r="B32" s="2" t="s">
        <v>209</v>
      </c>
      <c r="C32" s="1">
        <v>29</v>
      </c>
      <c r="D32" s="32">
        <f>D31</f>
        <v>8181.537839999998</v>
      </c>
    </row>
  </sheetData>
  <sheetProtection/>
  <mergeCells count="4">
    <mergeCell ref="B1:E1"/>
    <mergeCell ref="C3:E3"/>
    <mergeCell ref="C4:E4"/>
    <mergeCell ref="B5:E5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7"/>
  <sheetViews>
    <sheetView view="pageBreakPreview" zoomScaleNormal="85" zoomScaleSheetLayoutView="100" zoomScalePageLayoutView="0" workbookViewId="0" topLeftCell="A1">
      <selection activeCell="D19" sqref="D19"/>
    </sheetView>
  </sheetViews>
  <sheetFormatPr defaultColWidth="9.140625" defaultRowHeight="12.75"/>
  <cols>
    <col min="2" max="2" width="109.7109375" style="0" customWidth="1"/>
    <col min="3" max="3" width="3.57421875" style="0" customWidth="1"/>
    <col min="4" max="4" width="10.7109375" style="34" customWidth="1"/>
  </cols>
  <sheetData>
    <row r="1" spans="2:5" ht="23.25">
      <c r="B1" s="239" t="s">
        <v>0</v>
      </c>
      <c r="C1" s="240"/>
      <c r="D1" s="240"/>
      <c r="E1" s="240"/>
    </row>
    <row r="2" spans="2:4" ht="12.75">
      <c r="B2" s="4" t="s">
        <v>1</v>
      </c>
      <c r="D2"/>
    </row>
    <row r="3" spans="2:5" ht="12.75">
      <c r="B3" s="4" t="s">
        <v>2</v>
      </c>
      <c r="C3" s="240"/>
      <c r="D3" s="240"/>
      <c r="E3" s="240"/>
    </row>
    <row r="4" spans="2:5" ht="12.75">
      <c r="B4" s="4" t="s">
        <v>3</v>
      </c>
      <c r="C4" s="240"/>
      <c r="D4" s="240"/>
      <c r="E4" s="240"/>
    </row>
    <row r="5" spans="2:5" ht="15">
      <c r="B5" s="241" t="s">
        <v>210</v>
      </c>
      <c r="C5" s="240"/>
      <c r="D5" s="240"/>
      <c r="E5" s="240"/>
    </row>
    <row r="6" spans="3:4" ht="12.75">
      <c r="C6" s="1" t="s">
        <v>211</v>
      </c>
      <c r="D6" s="39" t="s">
        <v>365</v>
      </c>
    </row>
    <row r="7" spans="2:4" ht="12.75">
      <c r="B7" s="2" t="s">
        <v>212</v>
      </c>
      <c r="C7" s="1">
        <v>1</v>
      </c>
      <c r="D7" s="32"/>
    </row>
    <row r="8" spans="2:4" ht="12.75">
      <c r="B8" s="2" t="s">
        <v>213</v>
      </c>
      <c r="C8" s="1">
        <v>2</v>
      </c>
      <c r="D8" s="32"/>
    </row>
    <row r="9" spans="2:5" ht="12.75">
      <c r="B9" s="2" t="s">
        <v>214</v>
      </c>
      <c r="C9" s="1">
        <v>3</v>
      </c>
      <c r="D9" s="32"/>
      <c r="E9">
        <f>D10/0.025</f>
        <v>0</v>
      </c>
    </row>
    <row r="10" spans="2:4" ht="12.75">
      <c r="B10" s="2" t="s">
        <v>215</v>
      </c>
      <c r="C10" s="1">
        <v>4</v>
      </c>
      <c r="D10" s="32"/>
    </row>
    <row r="11" spans="2:5" ht="12.75">
      <c r="B11" s="2" t="s">
        <v>216</v>
      </c>
      <c r="C11" s="1">
        <v>5</v>
      </c>
      <c r="D11" s="32"/>
      <c r="E11" s="26" t="s">
        <v>361</v>
      </c>
    </row>
    <row r="12" spans="2:4" ht="12.75">
      <c r="B12" s="2" t="s">
        <v>217</v>
      </c>
      <c r="C12" s="1">
        <v>6</v>
      </c>
      <c r="D12" s="32"/>
    </row>
    <row r="13" spans="2:4" ht="12.75">
      <c r="B13" s="2" t="s">
        <v>218</v>
      </c>
      <c r="C13" s="1">
        <v>7</v>
      </c>
      <c r="D13" s="32"/>
    </row>
    <row r="14" spans="2:4" ht="12.75">
      <c r="B14" s="2" t="s">
        <v>219</v>
      </c>
      <c r="C14" s="1">
        <v>8</v>
      </c>
      <c r="D14" s="32"/>
    </row>
    <row r="15" spans="2:4" ht="12.75">
      <c r="B15" s="2" t="s">
        <v>220</v>
      </c>
      <c r="C15" s="1">
        <v>9</v>
      </c>
      <c r="D15" s="32"/>
    </row>
    <row r="16" spans="2:4" ht="12.75">
      <c r="B16" s="2" t="s">
        <v>221</v>
      </c>
      <c r="C16" s="1">
        <v>10</v>
      </c>
      <c r="D16" s="32"/>
    </row>
    <row r="17" spans="2:4" ht="12.75">
      <c r="B17" s="2" t="s">
        <v>222</v>
      </c>
      <c r="C17" s="1">
        <v>11</v>
      </c>
      <c r="D17" s="32"/>
    </row>
    <row r="18" spans="2:5" ht="12.75">
      <c r="B18" s="2" t="s">
        <v>223</v>
      </c>
      <c r="C18" s="1">
        <v>12</v>
      </c>
      <c r="D18" s="32"/>
      <c r="E18" s="26" t="s">
        <v>362</v>
      </c>
    </row>
    <row r="19" spans="2:5" ht="12.75">
      <c r="B19" s="2" t="s">
        <v>224</v>
      </c>
      <c r="C19" s="1">
        <v>13</v>
      </c>
      <c r="D19" s="40">
        <f>25.495*125</f>
        <v>3186.875</v>
      </c>
      <c r="E19" t="s">
        <v>359</v>
      </c>
    </row>
    <row r="20" spans="2:5" ht="12.75">
      <c r="B20" s="2" t="s">
        <v>225</v>
      </c>
      <c r="C20" s="1">
        <v>14</v>
      </c>
      <c r="D20" s="3">
        <f>'m2'!D71</f>
        <v>45628.125</v>
      </c>
      <c r="E20" s="26" t="s">
        <v>364</v>
      </c>
    </row>
    <row r="21" spans="2:4" ht="12.75">
      <c r="B21" s="2" t="s">
        <v>226</v>
      </c>
      <c r="C21" s="1">
        <v>15</v>
      </c>
      <c r="D21" s="32"/>
    </row>
    <row r="22" spans="2:5" ht="12.75">
      <c r="B22" s="2" t="s">
        <v>227</v>
      </c>
      <c r="C22" s="1">
        <v>16</v>
      </c>
      <c r="D22" s="32"/>
      <c r="E22" s="26" t="s">
        <v>363</v>
      </c>
    </row>
    <row r="23" spans="2:4" ht="12.75">
      <c r="B23" s="2" t="s">
        <v>228</v>
      </c>
      <c r="C23" s="1">
        <v>17</v>
      </c>
      <c r="D23" s="32"/>
    </row>
    <row r="24" spans="2:4" ht="12.75">
      <c r="B24" s="2" t="s">
        <v>229</v>
      </c>
      <c r="C24" s="1">
        <v>18</v>
      </c>
      <c r="D24" s="32"/>
    </row>
    <row r="25" spans="2:4" ht="12.75">
      <c r="B25" s="2" t="s">
        <v>230</v>
      </c>
      <c r="C25" s="1">
        <v>19</v>
      </c>
      <c r="D25" s="32"/>
    </row>
    <row r="26" spans="2:4" ht="12.75">
      <c r="B26" s="2" t="s">
        <v>231</v>
      </c>
      <c r="C26" s="1">
        <v>20</v>
      </c>
      <c r="D26" s="32"/>
    </row>
    <row r="27" spans="2:4" ht="12.75">
      <c r="B27" s="2" t="s">
        <v>232</v>
      </c>
      <c r="C27" s="1">
        <v>21</v>
      </c>
      <c r="D27" s="32"/>
    </row>
  </sheetData>
  <sheetProtection/>
  <mergeCells count="4">
    <mergeCell ref="B1:E1"/>
    <mergeCell ref="C3:E3"/>
    <mergeCell ref="C4:E4"/>
    <mergeCell ref="B5:E5"/>
  </mergeCells>
  <printOptions/>
  <pageMargins left="0.75" right="0.75" top="1" bottom="1" header="0.5" footer="0.5"/>
  <pageSetup orientation="landscape" scale="92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E44"/>
  <sheetViews>
    <sheetView view="pageBreakPreview" zoomScale="70" zoomScaleNormal="85" zoomScaleSheetLayoutView="70" zoomScalePageLayoutView="0" workbookViewId="0" topLeftCell="A1">
      <selection activeCell="D7" sqref="D7"/>
    </sheetView>
  </sheetViews>
  <sheetFormatPr defaultColWidth="9.140625" defaultRowHeight="12.75"/>
  <cols>
    <col min="2" max="2" width="82.57421875" style="0" customWidth="1"/>
    <col min="3" max="3" width="3.57421875" style="0" customWidth="1"/>
    <col min="4" max="4" width="8.00390625" style="0" customWidth="1"/>
  </cols>
  <sheetData>
    <row r="1" spans="2:5" ht="23.25">
      <c r="B1" s="239" t="s">
        <v>0</v>
      </c>
      <c r="C1" s="240"/>
      <c r="D1" s="240"/>
      <c r="E1" s="240"/>
    </row>
    <row r="2" ht="12.75">
      <c r="B2" s="4" t="s">
        <v>1</v>
      </c>
    </row>
    <row r="3" spans="2:5" ht="12.75">
      <c r="B3" s="4" t="s">
        <v>2</v>
      </c>
      <c r="C3" s="240"/>
      <c r="D3" s="240"/>
      <c r="E3" s="240"/>
    </row>
    <row r="4" spans="2:5" ht="12.75">
      <c r="B4" s="4" t="s">
        <v>3</v>
      </c>
      <c r="C4" s="240"/>
      <c r="D4" s="240"/>
      <c r="E4" s="240"/>
    </row>
    <row r="5" spans="2:5" ht="15">
      <c r="B5" s="241" t="s">
        <v>233</v>
      </c>
      <c r="C5" s="240"/>
      <c r="D5" s="240"/>
      <c r="E5" s="240"/>
    </row>
    <row r="6" spans="3:4" ht="12.75">
      <c r="C6" s="1" t="s">
        <v>234</v>
      </c>
      <c r="D6" s="39" t="s">
        <v>365</v>
      </c>
    </row>
    <row r="7" spans="2:4" ht="12.75">
      <c r="B7" s="2" t="s">
        <v>235</v>
      </c>
      <c r="C7" s="1">
        <v>1</v>
      </c>
      <c r="D7" s="3">
        <v>0</v>
      </c>
    </row>
    <row r="8" spans="2:4" ht="12.75">
      <c r="B8" s="2" t="s">
        <v>236</v>
      </c>
      <c r="C8" s="1">
        <v>2</v>
      </c>
      <c r="D8" s="3">
        <v>100</v>
      </c>
    </row>
    <row r="9" spans="2:4" ht="12.75">
      <c r="B9" s="2" t="s">
        <v>237</v>
      </c>
      <c r="C9" s="1">
        <v>3</v>
      </c>
      <c r="D9" s="3">
        <v>100</v>
      </c>
    </row>
    <row r="10" spans="2:4" ht="12.75">
      <c r="B10" s="2" t="s">
        <v>238</v>
      </c>
      <c r="C10" s="1">
        <v>4</v>
      </c>
      <c r="D10" s="3">
        <v>100</v>
      </c>
    </row>
    <row r="11" spans="2:4" ht="12.75">
      <c r="B11" s="2" t="s">
        <v>239</v>
      </c>
      <c r="C11" s="1">
        <v>5</v>
      </c>
      <c r="D11" s="3">
        <v>0</v>
      </c>
    </row>
    <row r="12" spans="2:4" ht="12.75">
      <c r="B12" s="2" t="s">
        <v>240</v>
      </c>
      <c r="C12" s="1">
        <v>6</v>
      </c>
      <c r="D12" s="3">
        <v>100</v>
      </c>
    </row>
    <row r="13" spans="2:4" ht="25.5">
      <c r="B13" s="2" t="s">
        <v>241</v>
      </c>
      <c r="C13" s="1">
        <v>7</v>
      </c>
      <c r="D13" s="3">
        <v>0</v>
      </c>
    </row>
    <row r="14" spans="2:4" ht="25.5">
      <c r="B14" s="2" t="s">
        <v>242</v>
      </c>
      <c r="C14" s="1">
        <v>8</v>
      </c>
      <c r="D14" s="3">
        <v>100</v>
      </c>
    </row>
    <row r="15" spans="2:4" ht="12.75">
      <c r="B15" s="2" t="s">
        <v>243</v>
      </c>
      <c r="C15" s="1">
        <v>9</v>
      </c>
      <c r="D15" s="3">
        <v>0</v>
      </c>
    </row>
    <row r="16" spans="2:4" ht="12.75">
      <c r="B16" s="2" t="s">
        <v>244</v>
      </c>
      <c r="C16" s="1">
        <v>10</v>
      </c>
      <c r="D16" s="3">
        <v>100</v>
      </c>
    </row>
    <row r="17" spans="2:4" ht="12.75">
      <c r="B17" s="2" t="s">
        <v>245</v>
      </c>
      <c r="C17" s="1">
        <v>11</v>
      </c>
      <c r="D17" s="3">
        <v>100</v>
      </c>
    </row>
    <row r="18" spans="2:4" ht="25.5">
      <c r="B18" s="2" t="s">
        <v>246</v>
      </c>
      <c r="C18" s="1">
        <v>12</v>
      </c>
      <c r="D18" s="3">
        <v>100</v>
      </c>
    </row>
    <row r="19" spans="2:4" ht="12.75">
      <c r="B19" s="2" t="s">
        <v>247</v>
      </c>
      <c r="C19" s="1">
        <v>13</v>
      </c>
      <c r="D19" s="3">
        <v>100</v>
      </c>
    </row>
    <row r="20" spans="2:4" ht="12.75">
      <c r="B20" s="2" t="s">
        <v>248</v>
      </c>
      <c r="C20" s="1">
        <v>14</v>
      </c>
      <c r="D20" s="3">
        <v>100</v>
      </c>
    </row>
    <row r="21" spans="2:4" ht="12.75">
      <c r="B21" s="2" t="s">
        <v>249</v>
      </c>
      <c r="C21" s="1">
        <v>15</v>
      </c>
      <c r="D21" s="3">
        <v>100</v>
      </c>
    </row>
    <row r="22" spans="2:4" ht="12.75">
      <c r="B22" s="2" t="s">
        <v>250</v>
      </c>
      <c r="C22" s="1">
        <v>16</v>
      </c>
      <c r="D22" s="3">
        <v>100</v>
      </c>
    </row>
    <row r="23" spans="2:4" ht="12.75">
      <c r="B23" s="2" t="s">
        <v>251</v>
      </c>
      <c r="C23" s="1">
        <v>17</v>
      </c>
      <c r="D23" s="3">
        <v>100</v>
      </c>
    </row>
    <row r="24" spans="2:4" ht="12.75">
      <c r="B24" s="2" t="s">
        <v>252</v>
      </c>
      <c r="C24" s="1">
        <v>18</v>
      </c>
      <c r="D24" s="3">
        <v>100</v>
      </c>
    </row>
    <row r="25" spans="2:4" ht="12.75">
      <c r="B25" s="2" t="s">
        <v>253</v>
      </c>
      <c r="C25" s="1">
        <v>19</v>
      </c>
      <c r="D25" s="3">
        <v>100</v>
      </c>
    </row>
    <row r="26" spans="2:4" ht="12.75">
      <c r="B26" s="2" t="s">
        <v>254</v>
      </c>
      <c r="C26" s="1">
        <v>20</v>
      </c>
      <c r="D26" s="3">
        <v>100</v>
      </c>
    </row>
    <row r="27" spans="2:4" ht="12.75">
      <c r="B27" s="2" t="s">
        <v>252</v>
      </c>
      <c r="C27" s="1">
        <v>21</v>
      </c>
      <c r="D27" s="3">
        <v>100</v>
      </c>
    </row>
    <row r="28" spans="2:4" ht="12.75">
      <c r="B28" s="2" t="s">
        <v>253</v>
      </c>
      <c r="C28" s="1">
        <v>22</v>
      </c>
      <c r="D28" s="3">
        <v>100</v>
      </c>
    </row>
    <row r="29" spans="2:4" ht="12.75">
      <c r="B29" s="2" t="s">
        <v>255</v>
      </c>
      <c r="C29" s="1">
        <v>23</v>
      </c>
      <c r="D29" s="3">
        <v>100</v>
      </c>
    </row>
    <row r="30" spans="2:4" ht="12.75">
      <c r="B30" s="2" t="s">
        <v>252</v>
      </c>
      <c r="C30" s="1">
        <v>24</v>
      </c>
      <c r="D30" s="3">
        <v>100</v>
      </c>
    </row>
    <row r="31" spans="2:4" ht="12.75">
      <c r="B31" s="2" t="s">
        <v>253</v>
      </c>
      <c r="C31" s="1">
        <v>25</v>
      </c>
      <c r="D31" s="3">
        <v>100</v>
      </c>
    </row>
    <row r="32" spans="2:4" ht="12.75">
      <c r="B32" s="2" t="s">
        <v>256</v>
      </c>
      <c r="C32" s="1">
        <v>26</v>
      </c>
      <c r="D32" s="3">
        <v>100</v>
      </c>
    </row>
    <row r="33" spans="2:4" ht="12.75">
      <c r="B33" s="2" t="s">
        <v>257</v>
      </c>
      <c r="C33" s="1">
        <v>27</v>
      </c>
      <c r="D33" s="3">
        <v>100</v>
      </c>
    </row>
    <row r="34" spans="2:4" ht="12.75">
      <c r="B34" s="2" t="s">
        <v>258</v>
      </c>
      <c r="C34" s="1">
        <v>28</v>
      </c>
      <c r="D34" s="3">
        <v>100</v>
      </c>
    </row>
    <row r="35" spans="2:4" ht="12.75">
      <c r="B35" s="2" t="s">
        <v>259</v>
      </c>
      <c r="C35" s="1">
        <v>29</v>
      </c>
      <c r="D35" s="3">
        <v>100</v>
      </c>
    </row>
    <row r="36" spans="2:4" ht="12.75">
      <c r="B36" s="2" t="s">
        <v>260</v>
      </c>
      <c r="C36" s="1">
        <v>30</v>
      </c>
      <c r="D36" s="3">
        <v>100</v>
      </c>
    </row>
    <row r="37" spans="2:4" ht="12.75">
      <c r="B37" s="2" t="s">
        <v>261</v>
      </c>
      <c r="C37" s="1">
        <v>31</v>
      </c>
      <c r="D37" s="3">
        <v>100</v>
      </c>
    </row>
    <row r="38" spans="2:4" ht="12.75">
      <c r="B38" s="2" t="s">
        <v>262</v>
      </c>
      <c r="C38" s="1">
        <v>32</v>
      </c>
      <c r="D38" s="3">
        <v>100</v>
      </c>
    </row>
    <row r="39" spans="2:4" ht="12.75">
      <c r="B39" s="2" t="s">
        <v>263</v>
      </c>
      <c r="C39" s="1">
        <v>33</v>
      </c>
      <c r="D39" s="3">
        <v>100</v>
      </c>
    </row>
    <row r="40" spans="2:4" ht="12.75">
      <c r="B40" s="2" t="s">
        <v>264</v>
      </c>
      <c r="C40" s="1">
        <v>34</v>
      </c>
      <c r="D40" s="3">
        <v>100</v>
      </c>
    </row>
    <row r="41" spans="2:4" ht="12.75">
      <c r="B41" s="2" t="s">
        <v>265</v>
      </c>
      <c r="C41" s="1">
        <v>35</v>
      </c>
      <c r="D41" s="3">
        <v>0</v>
      </c>
    </row>
    <row r="42" spans="2:4" ht="12.75">
      <c r="B42" s="2" t="s">
        <v>266</v>
      </c>
      <c r="C42" s="1">
        <v>36</v>
      </c>
      <c r="D42" s="3">
        <v>0</v>
      </c>
    </row>
    <row r="43" spans="2:4" ht="12.75">
      <c r="B43" s="2" t="s">
        <v>267</v>
      </c>
      <c r="C43" s="1">
        <v>37</v>
      </c>
      <c r="D43" s="3">
        <v>0</v>
      </c>
    </row>
    <row r="44" spans="2:4" ht="12.75">
      <c r="B44" s="2" t="s">
        <v>268</v>
      </c>
      <c r="C44" s="1">
        <v>38</v>
      </c>
      <c r="D44" s="3">
        <v>0</v>
      </c>
    </row>
  </sheetData>
  <sheetProtection/>
  <mergeCells count="4">
    <mergeCell ref="B1:E1"/>
    <mergeCell ref="C3:E3"/>
    <mergeCell ref="C4:E4"/>
    <mergeCell ref="B5:E5"/>
  </mergeCells>
  <printOptions/>
  <pageMargins left="0.75" right="0.75" top="1" bottom="1" header="0.5" footer="0.5"/>
  <pageSetup horizontalDpi="300" verticalDpi="300" orientation="portrait" scale="8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6"/>
  <sheetViews>
    <sheetView zoomScalePageLayoutView="0" workbookViewId="0" topLeftCell="A1">
      <selection activeCell="E1" sqref="E1:E2"/>
    </sheetView>
  </sheetViews>
  <sheetFormatPr defaultColWidth="9.140625" defaultRowHeight="12.75"/>
  <cols>
    <col min="1" max="1" width="41.00390625" style="0" customWidth="1"/>
    <col min="3" max="3" width="10.57421875" style="0" customWidth="1"/>
    <col min="4" max="4" width="10.140625" style="0" customWidth="1"/>
  </cols>
  <sheetData>
    <row r="1" spans="1:7" ht="18" customHeight="1">
      <c r="A1" s="244"/>
      <c r="B1" s="246" t="s">
        <v>1101</v>
      </c>
      <c r="C1" s="248" t="s">
        <v>1102</v>
      </c>
      <c r="D1" s="248" t="s">
        <v>1103</v>
      </c>
      <c r="E1" s="242" t="s">
        <v>1104</v>
      </c>
      <c r="F1" s="192"/>
      <c r="G1" s="194"/>
    </row>
    <row r="2" spans="1:7" ht="17.25" thickBot="1">
      <c r="A2" s="245"/>
      <c r="B2" s="247"/>
      <c r="C2" s="249"/>
      <c r="D2" s="249"/>
      <c r="E2" s="243"/>
      <c r="F2" s="193"/>
      <c r="G2" s="194"/>
    </row>
    <row r="3" spans="1:7" ht="16.5">
      <c r="A3" s="205" t="s">
        <v>1107</v>
      </c>
      <c r="B3" s="202">
        <v>5000</v>
      </c>
      <c r="C3" s="200">
        <v>3289.5</v>
      </c>
      <c r="D3" s="200">
        <v>913.5</v>
      </c>
      <c r="E3" s="201">
        <f>SUM(B3:D3)</f>
        <v>9203</v>
      </c>
      <c r="F3" s="194"/>
      <c r="G3" s="194"/>
    </row>
    <row r="4" spans="1:7" ht="16.5">
      <c r="A4" s="206" t="s">
        <v>1105</v>
      </c>
      <c r="B4" s="203">
        <v>0</v>
      </c>
      <c r="C4" s="195">
        <v>913.5</v>
      </c>
      <c r="D4" s="195">
        <v>-913.5</v>
      </c>
      <c r="E4" s="196">
        <f>SUM(B4:D4)</f>
        <v>0</v>
      </c>
      <c r="F4" s="194"/>
      <c r="G4" s="194"/>
    </row>
    <row r="5" spans="1:7" ht="16.5">
      <c r="A5" s="206" t="s">
        <v>1106</v>
      </c>
      <c r="B5" s="203">
        <v>0</v>
      </c>
      <c r="C5" s="195">
        <v>0</v>
      </c>
      <c r="D5" s="195">
        <f>FIS10!C120</f>
        <v>1532.4721400000005</v>
      </c>
      <c r="E5" s="197">
        <f>SUM(B5:D5)</f>
        <v>1532.4721400000005</v>
      </c>
      <c r="F5" s="194"/>
      <c r="G5" s="194"/>
    </row>
    <row r="6" spans="1:7" ht="17.25" thickBot="1">
      <c r="A6" s="207" t="s">
        <v>1108</v>
      </c>
      <c r="B6" s="204">
        <f>SUM(B3:B5)</f>
        <v>5000</v>
      </c>
      <c r="C6" s="198">
        <f>SUM(C3:C5)</f>
        <v>4203</v>
      </c>
      <c r="D6" s="198">
        <f>SUM(D3:D5)</f>
        <v>1532.4721400000005</v>
      </c>
      <c r="E6" s="199">
        <f>SUM(E3:E5)</f>
        <v>10735.47214</v>
      </c>
      <c r="F6" s="194"/>
      <c r="G6" s="194"/>
    </row>
  </sheetData>
  <sheetProtection/>
  <mergeCells count="5">
    <mergeCell ref="E1:E2"/>
    <mergeCell ref="A1:A2"/>
    <mergeCell ref="B1:B2"/>
    <mergeCell ref="C1:C2"/>
    <mergeCell ref="D1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10.28125" defaultRowHeight="12.75"/>
  <cols>
    <col min="1" max="1" width="78.7109375" style="45" customWidth="1"/>
    <col min="2" max="2" width="6.00390625" style="45" customWidth="1"/>
    <col min="3" max="3" width="16.140625" style="45" customWidth="1"/>
    <col min="4" max="4" width="10.28125" style="46" customWidth="1"/>
    <col min="5" max="5" width="10.57421875" style="46" bestFit="1" customWidth="1"/>
    <col min="6" max="16384" width="10.28125" style="46" customWidth="1"/>
  </cols>
  <sheetData>
    <row r="1" s="41" customFormat="1" ht="12.75" customHeight="1">
      <c r="A1" s="41" t="s">
        <v>366</v>
      </c>
    </row>
    <row r="2" spans="3:5" s="42" customFormat="1" ht="12.75" customHeight="1">
      <c r="C2" s="144"/>
      <c r="D2" s="144"/>
      <c r="E2" s="144"/>
    </row>
    <row r="3" s="43" customFormat="1" ht="18" customHeight="1">
      <c r="A3" s="43" t="s">
        <v>367</v>
      </c>
    </row>
    <row r="4" s="42" customFormat="1" ht="12.75" customHeight="1"/>
    <row r="5" s="42" customFormat="1" ht="12.75" customHeight="1">
      <c r="A5" s="44" t="s">
        <v>368</v>
      </c>
    </row>
    <row r="6" spans="1:3" s="42" customFormat="1" ht="12.75" customHeight="1">
      <c r="A6" s="44" t="s">
        <v>369</v>
      </c>
      <c r="C6" s="136">
        <f>C10-C54</f>
        <v>0</v>
      </c>
    </row>
    <row r="7" ht="6" customHeight="1"/>
    <row r="8" spans="1:3" s="45" customFormat="1" ht="11.25">
      <c r="A8" s="47" t="s">
        <v>370</v>
      </c>
      <c r="B8" s="48">
        <v>0</v>
      </c>
      <c r="C8" s="49" t="s">
        <v>371</v>
      </c>
    </row>
    <row r="9" spans="1:3" s="45" customFormat="1" ht="11.25">
      <c r="A9" s="50" t="s">
        <v>372</v>
      </c>
      <c r="B9" s="51" t="s">
        <v>373</v>
      </c>
      <c r="C9" s="52">
        <v>1</v>
      </c>
    </row>
    <row r="10" spans="1:5" s="45" customFormat="1" ht="11.25">
      <c r="A10" s="53" t="s">
        <v>323</v>
      </c>
      <c r="B10" s="48">
        <v>1</v>
      </c>
      <c r="C10" s="72">
        <f>C11+C37+C40+C43+C46</f>
        <v>14485.166380000002</v>
      </c>
      <c r="D10" s="126"/>
      <c r="E10" s="170"/>
    </row>
    <row r="11" spans="1:3" s="45" customFormat="1" ht="11.25">
      <c r="A11" s="54" t="s">
        <v>374</v>
      </c>
      <c r="B11" s="55">
        <v>2</v>
      </c>
      <c r="C11" s="69">
        <f>SUM(C12:C14)</f>
        <v>6459.368380000001</v>
      </c>
    </row>
    <row r="12" spans="1:3" s="45" customFormat="1" ht="11.25">
      <c r="A12" s="54" t="s">
        <v>375</v>
      </c>
      <c r="B12" s="55">
        <v>3</v>
      </c>
      <c r="C12" s="68">
        <f>SUM('Rozvaha 1-12'!F5:F7)/1000</f>
        <v>48.3454</v>
      </c>
    </row>
    <row r="13" spans="1:3" s="45" customFormat="1" ht="11.25">
      <c r="A13" s="54" t="s">
        <v>376</v>
      </c>
      <c r="B13" s="55">
        <v>4</v>
      </c>
      <c r="C13" s="68" t="s">
        <v>370</v>
      </c>
    </row>
    <row r="14" spans="1:4" s="45" customFormat="1" ht="11.25">
      <c r="A14" s="54" t="s">
        <v>377</v>
      </c>
      <c r="B14" s="55">
        <v>5</v>
      </c>
      <c r="C14" s="68">
        <f>SUM('Rozvaha 1-12'!F8:F17)/1000</f>
        <v>6411.022980000001</v>
      </c>
      <c r="D14" s="170">
        <f>C10-C14</f>
        <v>8074.143400000002</v>
      </c>
    </row>
    <row r="15" spans="1:3" s="45" customFormat="1" ht="11.25">
      <c r="A15" s="54" t="s">
        <v>378</v>
      </c>
      <c r="B15" s="55">
        <v>6</v>
      </c>
      <c r="C15" s="68" t="s">
        <v>370</v>
      </c>
    </row>
    <row r="16" spans="1:3" s="45" customFormat="1" ht="11.25">
      <c r="A16" s="54" t="s">
        <v>379</v>
      </c>
      <c r="B16" s="55">
        <v>7</v>
      </c>
      <c r="C16" s="68" t="s">
        <v>370</v>
      </c>
    </row>
    <row r="17" spans="1:3" s="45" customFormat="1" ht="11.25">
      <c r="A17" s="54" t="s">
        <v>380</v>
      </c>
      <c r="B17" s="55">
        <v>8</v>
      </c>
      <c r="C17" s="68" t="s">
        <v>370</v>
      </c>
    </row>
    <row r="18" spans="1:3" s="45" customFormat="1" ht="11.25">
      <c r="A18" s="54" t="s">
        <v>381</v>
      </c>
      <c r="B18" s="55">
        <v>9</v>
      </c>
      <c r="C18" s="68" t="s">
        <v>370</v>
      </c>
    </row>
    <row r="19" spans="1:3" s="45" customFormat="1" ht="11.25">
      <c r="A19" s="54" t="s">
        <v>382</v>
      </c>
      <c r="B19" s="55">
        <v>10</v>
      </c>
      <c r="C19" s="68" t="s">
        <v>370</v>
      </c>
    </row>
    <row r="20" spans="1:3" s="45" customFormat="1" ht="11.25">
      <c r="A20" s="54" t="s">
        <v>383</v>
      </c>
      <c r="B20" s="55">
        <v>11</v>
      </c>
      <c r="C20" s="68" t="s">
        <v>370</v>
      </c>
    </row>
    <row r="21" spans="1:3" s="45" customFormat="1" ht="11.25">
      <c r="A21" s="54" t="s">
        <v>384</v>
      </c>
      <c r="B21" s="55">
        <v>12</v>
      </c>
      <c r="C21" s="68" t="s">
        <v>370</v>
      </c>
    </row>
    <row r="22" spans="1:3" s="45" customFormat="1" ht="11.25">
      <c r="A22" s="54" t="s">
        <v>385</v>
      </c>
      <c r="B22" s="55">
        <v>13</v>
      </c>
      <c r="C22" s="68" t="s">
        <v>370</v>
      </c>
    </row>
    <row r="23" spans="1:3" s="45" customFormat="1" ht="11.25">
      <c r="A23" s="54" t="s">
        <v>386</v>
      </c>
      <c r="B23" s="55">
        <v>14</v>
      </c>
      <c r="C23" s="68" t="s">
        <v>370</v>
      </c>
    </row>
    <row r="24" spans="1:3" s="45" customFormat="1" ht="11.25">
      <c r="A24" s="54" t="s">
        <v>387</v>
      </c>
      <c r="B24" s="55">
        <v>15</v>
      </c>
      <c r="C24" s="68" t="s">
        <v>370</v>
      </c>
    </row>
    <row r="25" spans="1:3" s="45" customFormat="1" ht="11.25">
      <c r="A25" s="54" t="s">
        <v>388</v>
      </c>
      <c r="B25" s="55">
        <v>16</v>
      </c>
      <c r="C25" s="68" t="s">
        <v>370</v>
      </c>
    </row>
    <row r="26" spans="1:3" s="45" customFormat="1" ht="11.25">
      <c r="A26" s="54" t="s">
        <v>389</v>
      </c>
      <c r="B26" s="55">
        <v>17</v>
      </c>
      <c r="C26" s="68" t="s">
        <v>370</v>
      </c>
    </row>
    <row r="27" spans="1:3" s="45" customFormat="1" ht="11.25">
      <c r="A27" s="54" t="s">
        <v>390</v>
      </c>
      <c r="B27" s="55">
        <v>18</v>
      </c>
      <c r="C27" s="68" t="s">
        <v>370</v>
      </c>
    </row>
    <row r="28" spans="1:3" s="45" customFormat="1" ht="11.25">
      <c r="A28" s="54" t="s">
        <v>391</v>
      </c>
      <c r="B28" s="55">
        <v>19</v>
      </c>
      <c r="C28" s="68" t="s">
        <v>370</v>
      </c>
    </row>
    <row r="29" spans="1:3" s="45" customFormat="1" ht="11.25">
      <c r="A29" s="54" t="s">
        <v>392</v>
      </c>
      <c r="B29" s="55">
        <v>20</v>
      </c>
      <c r="C29" s="68" t="s">
        <v>370</v>
      </c>
    </row>
    <row r="30" spans="1:3" s="45" customFormat="1" ht="11.25">
      <c r="A30" s="54" t="s">
        <v>393</v>
      </c>
      <c r="B30" s="55">
        <v>21</v>
      </c>
      <c r="C30" s="68" t="s">
        <v>370</v>
      </c>
    </row>
    <row r="31" spans="1:3" s="45" customFormat="1" ht="11.25">
      <c r="A31" s="54" t="s">
        <v>394</v>
      </c>
      <c r="B31" s="55">
        <v>22</v>
      </c>
      <c r="C31" s="68" t="s">
        <v>370</v>
      </c>
    </row>
    <row r="32" spans="1:3" s="45" customFormat="1" ht="11.25">
      <c r="A32" s="54" t="s">
        <v>395</v>
      </c>
      <c r="B32" s="55">
        <v>23</v>
      </c>
      <c r="C32" s="68" t="s">
        <v>370</v>
      </c>
    </row>
    <row r="33" spans="1:3" s="45" customFormat="1" ht="11.25">
      <c r="A33" s="54" t="s">
        <v>396</v>
      </c>
      <c r="B33" s="55">
        <v>24</v>
      </c>
      <c r="C33" s="68" t="s">
        <v>370</v>
      </c>
    </row>
    <row r="34" spans="1:3" s="45" customFormat="1" ht="11.25">
      <c r="A34" s="54" t="s">
        <v>397</v>
      </c>
      <c r="B34" s="55">
        <v>25</v>
      </c>
      <c r="C34" s="68" t="s">
        <v>370</v>
      </c>
    </row>
    <row r="35" spans="1:3" s="45" customFormat="1" ht="11.25">
      <c r="A35" s="54" t="s">
        <v>398</v>
      </c>
      <c r="B35" s="55">
        <v>26</v>
      </c>
      <c r="C35" s="68" t="s">
        <v>370</v>
      </c>
    </row>
    <row r="36" spans="1:3" s="45" customFormat="1" ht="11.25">
      <c r="A36" s="54" t="s">
        <v>399</v>
      </c>
      <c r="B36" s="55">
        <v>27</v>
      </c>
      <c r="C36" s="68" t="s">
        <v>370</v>
      </c>
    </row>
    <row r="37" spans="1:3" s="45" customFormat="1" ht="11.25">
      <c r="A37" s="54" t="s">
        <v>400</v>
      </c>
      <c r="B37" s="55">
        <v>28</v>
      </c>
      <c r="C37" s="69">
        <f>SUM(C38:C39)</f>
        <v>1389.5118099999997</v>
      </c>
    </row>
    <row r="38" spans="1:3" s="45" customFormat="1" ht="11.25">
      <c r="A38" s="54" t="s">
        <v>401</v>
      </c>
      <c r="B38" s="55">
        <v>29</v>
      </c>
      <c r="C38" s="68">
        <f>SUM('Rozvaha 1-12'!F59:F64)/1000</f>
        <v>1389.5118099999997</v>
      </c>
    </row>
    <row r="39" spans="1:3" s="45" customFormat="1" ht="11.25">
      <c r="A39" s="54" t="s">
        <v>402</v>
      </c>
      <c r="B39" s="55">
        <v>30</v>
      </c>
      <c r="C39" s="68" t="s">
        <v>370</v>
      </c>
    </row>
    <row r="40" spans="1:3" s="45" customFormat="1" ht="11.25">
      <c r="A40" s="54" t="s">
        <v>403</v>
      </c>
      <c r="B40" s="55">
        <v>31</v>
      </c>
      <c r="C40" s="69">
        <f>SUM(C41:C42)</f>
        <v>1710.844</v>
      </c>
    </row>
    <row r="41" spans="1:3" s="45" customFormat="1" ht="11.25">
      <c r="A41" s="54" t="s">
        <v>404</v>
      </c>
      <c r="B41" s="55">
        <v>32</v>
      </c>
      <c r="C41" s="68" t="s">
        <v>370</v>
      </c>
    </row>
    <row r="42" spans="1:3" s="45" customFormat="1" ht="11.25">
      <c r="A42" s="54" t="s">
        <v>405</v>
      </c>
      <c r="B42" s="55">
        <v>33</v>
      </c>
      <c r="C42" s="68">
        <f>SUM('Rozvaha 1-12'!F65:F67)/1000</f>
        <v>1710.844</v>
      </c>
    </row>
    <row r="43" spans="1:3" s="45" customFormat="1" ht="11.25">
      <c r="A43" s="54" t="s">
        <v>406</v>
      </c>
      <c r="B43" s="55">
        <v>34</v>
      </c>
      <c r="C43" s="69">
        <f>SUM(C44:C45)</f>
        <v>0</v>
      </c>
    </row>
    <row r="44" spans="1:3" s="45" customFormat="1" ht="11.25">
      <c r="A44" s="54" t="s">
        <v>407</v>
      </c>
      <c r="B44" s="55">
        <v>35</v>
      </c>
      <c r="C44" s="68"/>
    </row>
    <row r="45" spans="1:3" s="45" customFormat="1" ht="11.25">
      <c r="A45" s="54" t="s">
        <v>408</v>
      </c>
      <c r="B45" s="55">
        <v>36</v>
      </c>
      <c r="C45" s="68"/>
    </row>
    <row r="46" spans="1:3" s="45" customFormat="1" ht="11.25">
      <c r="A46" s="54" t="s">
        <v>409</v>
      </c>
      <c r="B46" s="55">
        <v>37</v>
      </c>
      <c r="C46" s="68">
        <f>SUM('Rozvaha 1-12'!F39:F50)/1000</f>
        <v>4925.442190000001</v>
      </c>
    </row>
    <row r="47" spans="1:3" s="45" customFormat="1" ht="11.25">
      <c r="A47" s="56" t="s">
        <v>410</v>
      </c>
      <c r="B47" s="57">
        <v>38</v>
      </c>
      <c r="C47" s="71" t="s">
        <v>370</v>
      </c>
    </row>
    <row r="50" s="42" customFormat="1" ht="12.75" customHeight="1">
      <c r="A50" s="44" t="s">
        <v>411</v>
      </c>
    </row>
    <row r="51" ht="6" customHeight="1"/>
    <row r="52" spans="1:3" s="45" customFormat="1" ht="11.25">
      <c r="A52" s="47" t="s">
        <v>370</v>
      </c>
      <c r="B52" s="48">
        <v>0</v>
      </c>
      <c r="C52" s="49" t="s">
        <v>371</v>
      </c>
    </row>
    <row r="53" spans="1:3" s="45" customFormat="1" ht="11.25">
      <c r="A53" s="50" t="s">
        <v>372</v>
      </c>
      <c r="B53" s="51" t="s">
        <v>373</v>
      </c>
      <c r="C53" s="52">
        <v>1</v>
      </c>
    </row>
    <row r="54" spans="1:3" s="45" customFormat="1" ht="11.25">
      <c r="A54" s="53" t="s">
        <v>412</v>
      </c>
      <c r="B54" s="48">
        <v>1</v>
      </c>
      <c r="C54" s="72">
        <f>C72+C79+C83+C85</f>
        <v>14485.166379999999</v>
      </c>
    </row>
    <row r="55" spans="1:5" s="45" customFormat="1" ht="11.25">
      <c r="A55" s="54" t="s">
        <v>413</v>
      </c>
      <c r="B55" s="55">
        <v>2</v>
      </c>
      <c r="C55" s="68">
        <f>C79+C83+C72</f>
        <v>3060.3124000000007</v>
      </c>
      <c r="E55" s="170"/>
    </row>
    <row r="56" spans="1:3" s="45" customFormat="1" ht="11.25">
      <c r="A56" s="54" t="s">
        <v>414</v>
      </c>
      <c r="B56" s="55">
        <v>3</v>
      </c>
      <c r="C56" s="68" t="s">
        <v>370</v>
      </c>
    </row>
    <row r="57" spans="1:3" s="45" customFormat="1" ht="11.25">
      <c r="A57" s="54" t="s">
        <v>415</v>
      </c>
      <c r="B57" s="55">
        <v>4</v>
      </c>
      <c r="C57" s="68" t="s">
        <v>370</v>
      </c>
    </row>
    <row r="58" spans="1:3" s="45" customFormat="1" ht="11.25">
      <c r="A58" s="54" t="s">
        <v>416</v>
      </c>
      <c r="B58" s="55">
        <v>5</v>
      </c>
      <c r="C58" s="68" t="s">
        <v>370</v>
      </c>
    </row>
    <row r="59" spans="1:3" s="45" customFormat="1" ht="11.25">
      <c r="A59" s="54" t="s">
        <v>417</v>
      </c>
      <c r="B59" s="55">
        <v>6</v>
      </c>
      <c r="C59" s="68" t="s">
        <v>370</v>
      </c>
    </row>
    <row r="60" spans="1:3" s="45" customFormat="1" ht="11.25">
      <c r="A60" s="54" t="s">
        <v>418</v>
      </c>
      <c r="B60" s="55">
        <v>7</v>
      </c>
      <c r="C60" s="68" t="s">
        <v>370</v>
      </c>
    </row>
    <row r="61" spans="1:3" s="45" customFormat="1" ht="11.25">
      <c r="A61" s="54" t="s">
        <v>419</v>
      </c>
      <c r="B61" s="55">
        <v>8</v>
      </c>
      <c r="C61" s="68" t="s">
        <v>370</v>
      </c>
    </row>
    <row r="62" spans="1:3" s="45" customFormat="1" ht="11.25">
      <c r="A62" s="54" t="s">
        <v>420</v>
      </c>
      <c r="B62" s="55">
        <v>9</v>
      </c>
      <c r="C62" s="68" t="s">
        <v>370</v>
      </c>
    </row>
    <row r="63" spans="1:3" s="45" customFormat="1" ht="11.25">
      <c r="A63" s="54" t="s">
        <v>421</v>
      </c>
      <c r="B63" s="55">
        <v>10</v>
      </c>
      <c r="C63" s="68" t="s">
        <v>370</v>
      </c>
    </row>
    <row r="64" spans="1:3" s="45" customFormat="1" ht="11.25">
      <c r="A64" s="54" t="s">
        <v>422</v>
      </c>
      <c r="B64" s="55">
        <v>11</v>
      </c>
      <c r="C64" s="68" t="s">
        <v>370</v>
      </c>
    </row>
    <row r="65" spans="1:3" s="45" customFormat="1" ht="11.25">
      <c r="A65" s="54" t="s">
        <v>423</v>
      </c>
      <c r="B65" s="55">
        <v>12</v>
      </c>
      <c r="C65" s="68" t="s">
        <v>370</v>
      </c>
    </row>
    <row r="66" spans="1:3" s="45" customFormat="1" ht="11.25">
      <c r="A66" s="54" t="s">
        <v>424</v>
      </c>
      <c r="B66" s="55">
        <v>13</v>
      </c>
      <c r="C66" s="68" t="s">
        <v>370</v>
      </c>
    </row>
    <row r="67" spans="1:3" s="45" customFormat="1" ht="11.25">
      <c r="A67" s="54" t="s">
        <v>425</v>
      </c>
      <c r="B67" s="55">
        <v>14</v>
      </c>
      <c r="C67" s="68" t="s">
        <v>370</v>
      </c>
    </row>
    <row r="68" spans="1:3" s="45" customFormat="1" ht="11.25">
      <c r="A68" s="54" t="s">
        <v>426</v>
      </c>
      <c r="B68" s="55">
        <v>15</v>
      </c>
      <c r="C68" s="68" t="s">
        <v>370</v>
      </c>
    </row>
    <row r="69" spans="1:3" s="45" customFormat="1" ht="11.25">
      <c r="A69" s="54" t="s">
        <v>427</v>
      </c>
      <c r="B69" s="55">
        <v>16</v>
      </c>
      <c r="C69" s="68" t="s">
        <v>370</v>
      </c>
    </row>
    <row r="70" spans="1:3" s="45" customFormat="1" ht="11.25">
      <c r="A70" s="54" t="s">
        <v>428</v>
      </c>
      <c r="B70" s="55">
        <v>17</v>
      </c>
      <c r="C70" s="68" t="s">
        <v>370</v>
      </c>
    </row>
    <row r="71" spans="1:3" s="45" customFormat="1" ht="11.25">
      <c r="A71" s="54" t="s">
        <v>429</v>
      </c>
      <c r="B71" s="55">
        <v>18</v>
      </c>
      <c r="C71" s="68" t="s">
        <v>370</v>
      </c>
    </row>
    <row r="72" spans="1:3" s="45" customFormat="1" ht="11.25">
      <c r="A72" s="54" t="s">
        <v>430</v>
      </c>
      <c r="B72" s="55">
        <v>19</v>
      </c>
      <c r="C72" s="69">
        <f>SUM(C73:C78)</f>
        <v>70</v>
      </c>
    </row>
    <row r="73" spans="1:3" s="45" customFormat="1" ht="11.25">
      <c r="A73" s="54" t="s">
        <v>431</v>
      </c>
      <c r="B73" s="55">
        <v>20</v>
      </c>
      <c r="C73" s="68" t="s">
        <v>370</v>
      </c>
    </row>
    <row r="74" spans="1:3" s="45" customFormat="1" ht="11.25">
      <c r="A74" s="54" t="s">
        <v>432</v>
      </c>
      <c r="B74" s="55">
        <v>21</v>
      </c>
      <c r="C74" s="68" t="s">
        <v>370</v>
      </c>
    </row>
    <row r="75" spans="1:3" s="45" customFormat="1" ht="11.25">
      <c r="A75" s="54" t="s">
        <v>433</v>
      </c>
      <c r="B75" s="55">
        <v>22</v>
      </c>
      <c r="C75" s="68" t="s">
        <v>370</v>
      </c>
    </row>
    <row r="76" spans="1:3" s="45" customFormat="1" ht="11.25">
      <c r="A76" s="54" t="s">
        <v>434</v>
      </c>
      <c r="B76" s="55">
        <v>23</v>
      </c>
      <c r="C76" s="68" t="s">
        <v>370</v>
      </c>
    </row>
    <row r="77" spans="1:3" s="45" customFormat="1" ht="11.25">
      <c r="A77" s="54" t="s">
        <v>435</v>
      </c>
      <c r="B77" s="55">
        <v>24</v>
      </c>
      <c r="C77" s="68" t="s">
        <v>370</v>
      </c>
    </row>
    <row r="78" spans="1:3" s="45" customFormat="1" ht="11.25">
      <c r="A78" s="54" t="s">
        <v>436</v>
      </c>
      <c r="B78" s="55">
        <v>25</v>
      </c>
      <c r="C78" s="68">
        <f>'Rozvaha 1-12'!F122/1000</f>
        <v>70</v>
      </c>
    </row>
    <row r="79" spans="1:3" s="45" customFormat="1" ht="11.25">
      <c r="A79" s="54" t="s">
        <v>437</v>
      </c>
      <c r="B79" s="55">
        <v>26</v>
      </c>
      <c r="C79" s="69">
        <f>SUM(C80:C81)</f>
        <v>435.93479</v>
      </c>
    </row>
    <row r="80" spans="1:3" s="45" customFormat="1" ht="11.25">
      <c r="A80" s="54" t="s">
        <v>438</v>
      </c>
      <c r="B80" s="55">
        <v>27</v>
      </c>
      <c r="C80" s="68">
        <f>('Rozvaha 1-12'!F105/1000)</f>
        <v>304.3</v>
      </c>
    </row>
    <row r="81" spans="1:3" s="45" customFormat="1" ht="11.25">
      <c r="A81" s="54" t="s">
        <v>439</v>
      </c>
      <c r="B81" s="55">
        <v>28</v>
      </c>
      <c r="C81" s="68">
        <f>'Rozvaha 1-12'!F111/1000</f>
        <v>131.63479</v>
      </c>
    </row>
    <row r="82" spans="1:3" s="45" customFormat="1" ht="11.25">
      <c r="A82" s="54" t="s">
        <v>440</v>
      </c>
      <c r="B82" s="55">
        <v>29</v>
      </c>
      <c r="C82" s="68" t="s">
        <v>370</v>
      </c>
    </row>
    <row r="83" spans="1:3" s="45" customFormat="1" ht="11.25">
      <c r="A83" s="54" t="s">
        <v>441</v>
      </c>
      <c r="B83" s="55">
        <v>30</v>
      </c>
      <c r="C83" s="68">
        <f>(SUM('Rozvaha 1-12'!F71:F120)-'Rozvaha 1-12'!F105-'Rozvaha 1-12'!F111)/1000</f>
        <v>2554.3776100000005</v>
      </c>
    </row>
    <row r="84" spans="1:3" s="45" customFormat="1" ht="11.25">
      <c r="A84" s="54" t="s">
        <v>442</v>
      </c>
      <c r="B84" s="55">
        <v>31</v>
      </c>
      <c r="C84" s="68" t="s">
        <v>370</v>
      </c>
    </row>
    <row r="85" spans="1:3" s="45" customFormat="1" ht="11.25">
      <c r="A85" s="54" t="s">
        <v>443</v>
      </c>
      <c r="B85" s="55">
        <v>32</v>
      </c>
      <c r="C85" s="69">
        <f>C86+C114+C120</f>
        <v>11424.853979999998</v>
      </c>
    </row>
    <row r="86" spans="1:3" s="45" customFormat="1" ht="11.25">
      <c r="A86" s="54" t="s">
        <v>444</v>
      </c>
      <c r="B86" s="55">
        <v>33</v>
      </c>
      <c r="C86" s="69">
        <f>SUM(C87:C88)</f>
        <v>5000</v>
      </c>
    </row>
    <row r="87" spans="1:3" s="45" customFormat="1" ht="11.25">
      <c r="A87" s="54" t="s">
        <v>445</v>
      </c>
      <c r="B87" s="55">
        <v>34</v>
      </c>
      <c r="C87" s="68">
        <f>('Rozvaha 1-12'!F123+'Rozvaha 1-12'!F124+'Rozvaha 1-12'!F125+'Rozvaha 1-12'!F126)/1000</f>
        <v>5000</v>
      </c>
    </row>
    <row r="88" spans="1:3" s="45" customFormat="1" ht="11.25">
      <c r="A88" s="54" t="s">
        <v>446</v>
      </c>
      <c r="B88" s="55">
        <v>35</v>
      </c>
      <c r="C88" s="68" t="s">
        <v>370</v>
      </c>
    </row>
    <row r="89" spans="1:3" s="45" customFormat="1" ht="11.25">
      <c r="A89" s="54" t="s">
        <v>447</v>
      </c>
      <c r="B89" s="55">
        <v>36</v>
      </c>
      <c r="C89" s="68" t="s">
        <v>370</v>
      </c>
    </row>
    <row r="90" spans="1:3" s="45" customFormat="1" ht="11.25">
      <c r="A90" s="54" t="s">
        <v>448</v>
      </c>
      <c r="B90" s="55">
        <v>37</v>
      </c>
      <c r="C90" s="68" t="s">
        <v>370</v>
      </c>
    </row>
    <row r="91" spans="1:3" s="45" customFormat="1" ht="11.25">
      <c r="A91" s="54" t="s">
        <v>449</v>
      </c>
      <c r="B91" s="55">
        <v>38</v>
      </c>
      <c r="C91" s="68" t="s">
        <v>370</v>
      </c>
    </row>
    <row r="92" spans="1:3" s="45" customFormat="1" ht="11.25">
      <c r="A92" s="54" t="s">
        <v>450</v>
      </c>
      <c r="B92" s="55">
        <v>39</v>
      </c>
      <c r="C92" s="68" t="s">
        <v>370</v>
      </c>
    </row>
    <row r="93" spans="1:3" s="45" customFormat="1" ht="11.25">
      <c r="A93" s="54" t="s">
        <v>451</v>
      </c>
      <c r="B93" s="55">
        <v>40</v>
      </c>
      <c r="C93" s="68" t="s">
        <v>370</v>
      </c>
    </row>
    <row r="94" spans="1:3" s="45" customFormat="1" ht="11.25">
      <c r="A94" s="54" t="s">
        <v>452</v>
      </c>
      <c r="B94" s="55">
        <v>41</v>
      </c>
      <c r="C94" s="68" t="s">
        <v>370</v>
      </c>
    </row>
    <row r="95" spans="1:3" s="45" customFormat="1" ht="11.25">
      <c r="A95" s="54" t="s">
        <v>453</v>
      </c>
      <c r="B95" s="55">
        <v>42</v>
      </c>
      <c r="C95" s="68" t="s">
        <v>370</v>
      </c>
    </row>
    <row r="96" spans="1:3" s="45" customFormat="1" ht="11.25">
      <c r="A96" s="54" t="s">
        <v>454</v>
      </c>
      <c r="B96" s="55">
        <v>43</v>
      </c>
      <c r="C96" s="68" t="s">
        <v>370</v>
      </c>
    </row>
    <row r="97" spans="1:3" s="45" customFormat="1" ht="11.25">
      <c r="A97" s="54" t="s">
        <v>455</v>
      </c>
      <c r="B97" s="55">
        <v>44</v>
      </c>
      <c r="C97" s="68" t="s">
        <v>370</v>
      </c>
    </row>
    <row r="98" spans="1:3" s="45" customFormat="1" ht="11.25">
      <c r="A98" s="54" t="s">
        <v>456</v>
      </c>
      <c r="B98" s="55">
        <v>45</v>
      </c>
      <c r="C98" s="68" t="s">
        <v>370</v>
      </c>
    </row>
    <row r="99" spans="1:3" s="45" customFormat="1" ht="11.25">
      <c r="A99" s="54" t="s">
        <v>457</v>
      </c>
      <c r="B99" s="55">
        <v>46</v>
      </c>
      <c r="C99" s="68" t="s">
        <v>370</v>
      </c>
    </row>
    <row r="100" spans="1:3" s="45" customFormat="1" ht="11.25">
      <c r="A100" s="54" t="s">
        <v>458</v>
      </c>
      <c r="B100" s="55">
        <v>47</v>
      </c>
      <c r="C100" s="68" t="s">
        <v>370</v>
      </c>
    </row>
    <row r="101" spans="1:3" s="45" customFormat="1" ht="11.25">
      <c r="A101" s="54" t="s">
        <v>459</v>
      </c>
      <c r="B101" s="55">
        <v>48</v>
      </c>
      <c r="C101" s="68" t="s">
        <v>370</v>
      </c>
    </row>
    <row r="102" spans="1:3" s="45" customFormat="1" ht="11.25">
      <c r="A102" s="54" t="s">
        <v>460</v>
      </c>
      <c r="B102" s="55">
        <v>49</v>
      </c>
      <c r="C102" s="68" t="s">
        <v>370</v>
      </c>
    </row>
    <row r="103" spans="1:3" s="45" customFormat="1" ht="11.25">
      <c r="A103" s="54" t="s">
        <v>461</v>
      </c>
      <c r="B103" s="55">
        <v>50</v>
      </c>
      <c r="C103" s="68" t="s">
        <v>370</v>
      </c>
    </row>
    <row r="104" spans="1:3" s="45" customFormat="1" ht="11.25">
      <c r="A104" s="54" t="s">
        <v>462</v>
      </c>
      <c r="B104" s="55">
        <v>51</v>
      </c>
      <c r="C104" s="68" t="s">
        <v>370</v>
      </c>
    </row>
    <row r="105" spans="1:3" s="45" customFormat="1" ht="11.25">
      <c r="A105" s="54" t="s">
        <v>463</v>
      </c>
      <c r="B105" s="55">
        <v>52</v>
      </c>
      <c r="C105" s="68" t="s">
        <v>370</v>
      </c>
    </row>
    <row r="106" spans="1:3" s="45" customFormat="1" ht="11.25">
      <c r="A106" s="54" t="s">
        <v>464</v>
      </c>
      <c r="B106" s="55">
        <v>53</v>
      </c>
      <c r="C106" s="68" t="s">
        <v>370</v>
      </c>
    </row>
    <row r="107" spans="1:3" s="45" customFormat="1" ht="11.25">
      <c r="A107" s="54" t="s">
        <v>465</v>
      </c>
      <c r="B107" s="55">
        <v>54</v>
      </c>
      <c r="C107" s="68" t="s">
        <v>370</v>
      </c>
    </row>
    <row r="108" spans="1:3" s="45" customFormat="1" ht="11.25">
      <c r="A108" s="54" t="s">
        <v>466</v>
      </c>
      <c r="B108" s="55">
        <v>55</v>
      </c>
      <c r="C108" s="68" t="s">
        <v>370</v>
      </c>
    </row>
    <row r="109" spans="1:3" s="45" customFormat="1" ht="11.25">
      <c r="A109" s="54" t="s">
        <v>467</v>
      </c>
      <c r="B109" s="55">
        <v>56</v>
      </c>
      <c r="C109" s="68" t="s">
        <v>370</v>
      </c>
    </row>
    <row r="110" spans="1:3" s="45" customFormat="1" ht="11.25">
      <c r="A110" s="54" t="s">
        <v>468</v>
      </c>
      <c r="B110" s="55">
        <v>57</v>
      </c>
      <c r="C110" s="68" t="s">
        <v>370</v>
      </c>
    </row>
    <row r="111" spans="1:3" s="45" customFormat="1" ht="11.25">
      <c r="A111" s="54" t="s">
        <v>469</v>
      </c>
      <c r="B111" s="55">
        <v>58</v>
      </c>
      <c r="C111" s="68" t="s">
        <v>370</v>
      </c>
    </row>
    <row r="112" spans="1:3" s="45" customFormat="1" ht="11.25">
      <c r="A112" s="54" t="s">
        <v>470</v>
      </c>
      <c r="B112" s="55">
        <v>59</v>
      </c>
      <c r="C112" s="68"/>
    </row>
    <row r="113" spans="1:3" s="45" customFormat="1" ht="11.25">
      <c r="A113" s="54" t="s">
        <v>471</v>
      </c>
      <c r="B113" s="55">
        <v>60</v>
      </c>
      <c r="C113" s="68" t="s">
        <v>370</v>
      </c>
    </row>
    <row r="114" spans="1:4" s="45" customFormat="1" ht="11.25">
      <c r="A114" s="54" t="s">
        <v>472</v>
      </c>
      <c r="B114" s="55">
        <v>61</v>
      </c>
      <c r="C114" s="68">
        <f>'Rozvaha 1-12'!F128/1000+'Rozvaha 1-12'!F121/1000+'Rozvaha 1-12'!F127/1000</f>
        <v>4892.381839999999</v>
      </c>
      <c r="D114" s="170">
        <f>C114+C120</f>
        <v>6424.85398</v>
      </c>
    </row>
    <row r="115" spans="1:3" s="45" customFormat="1" ht="11.25">
      <c r="A115" s="54" t="s">
        <v>473</v>
      </c>
      <c r="B115" s="55">
        <v>62</v>
      </c>
      <c r="C115" s="68" t="s">
        <v>370</v>
      </c>
    </row>
    <row r="116" spans="1:3" s="45" customFormat="1" ht="11.25">
      <c r="A116" s="54" t="s">
        <v>474</v>
      </c>
      <c r="B116" s="55">
        <v>63</v>
      </c>
      <c r="C116" s="68" t="s">
        <v>370</v>
      </c>
    </row>
    <row r="117" spans="1:3" s="45" customFormat="1" ht="22.5">
      <c r="A117" s="54" t="s">
        <v>475</v>
      </c>
      <c r="B117" s="55">
        <v>64</v>
      </c>
      <c r="C117" s="68" t="s">
        <v>370</v>
      </c>
    </row>
    <row r="118" spans="1:3" s="45" customFormat="1" ht="11.25">
      <c r="A118" s="54" t="s">
        <v>476</v>
      </c>
      <c r="B118" s="55">
        <v>65</v>
      </c>
      <c r="C118" s="68" t="s">
        <v>370</v>
      </c>
    </row>
    <row r="119" spans="1:3" s="45" customFormat="1" ht="11.25">
      <c r="A119" s="54" t="s">
        <v>477</v>
      </c>
      <c r="B119" s="55">
        <v>66</v>
      </c>
      <c r="C119" s="68" t="s">
        <v>370</v>
      </c>
    </row>
    <row r="120" spans="1:3" s="45" customFormat="1" ht="11.25">
      <c r="A120" s="54" t="s">
        <v>478</v>
      </c>
      <c r="B120" s="55">
        <v>67</v>
      </c>
      <c r="C120" s="68">
        <f>-'Rozvaha 1-12'!F211/1000</f>
        <v>1532.4721400000005</v>
      </c>
    </row>
    <row r="121" spans="1:3" s="45" customFormat="1" ht="11.25">
      <c r="A121" s="54" t="s">
        <v>479</v>
      </c>
      <c r="B121" s="55">
        <v>68</v>
      </c>
      <c r="C121" s="68" t="s">
        <v>370</v>
      </c>
    </row>
    <row r="122" spans="1:3" s="45" customFormat="1" ht="11.25">
      <c r="A122" s="54" t="s">
        <v>480</v>
      </c>
      <c r="B122" s="55">
        <v>69</v>
      </c>
      <c r="C122" s="58" t="s">
        <v>481</v>
      </c>
    </row>
    <row r="123" spans="1:3" s="45" customFormat="1" ht="11.25">
      <c r="A123" s="54" t="s">
        <v>482</v>
      </c>
      <c r="B123" s="55">
        <v>70</v>
      </c>
      <c r="C123" s="58" t="s">
        <v>481</v>
      </c>
    </row>
    <row r="124" spans="1:3" s="45" customFormat="1" ht="11.25">
      <c r="A124" s="56" t="s">
        <v>483</v>
      </c>
      <c r="B124" s="57">
        <v>71</v>
      </c>
      <c r="C124" s="59" t="s">
        <v>481</v>
      </c>
    </row>
  </sheetData>
  <sheetProtection/>
  <printOptions/>
  <pageMargins left="0.7" right="0.7" top="0.787401575" bottom="0.787401575" header="0.3" footer="0.3"/>
  <pageSetup horizontalDpi="600" verticalDpi="600" orientation="portrait" scale="91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84"/>
  <sheetViews>
    <sheetView view="pageBreakPreview" zoomScale="110" zoomScaleNormal="110" zoomScaleSheetLayoutView="110" zoomScalePageLayoutView="0" workbookViewId="0" topLeftCell="A1">
      <selection activeCell="C57" sqref="C57"/>
    </sheetView>
  </sheetViews>
  <sheetFormatPr defaultColWidth="10.28125" defaultRowHeight="12.75"/>
  <cols>
    <col min="1" max="1" width="96.7109375" style="45" customWidth="1"/>
    <col min="2" max="2" width="6.00390625" style="45" customWidth="1"/>
    <col min="3" max="3" width="17.00390625" style="45" customWidth="1"/>
    <col min="4" max="4" width="15.421875" style="46" customWidth="1"/>
    <col min="5" max="16384" width="10.28125" style="46" customWidth="1"/>
  </cols>
  <sheetData>
    <row r="1" s="41" customFormat="1" ht="12.75" customHeight="1">
      <c r="A1" s="41" t="s">
        <v>484</v>
      </c>
    </row>
    <row r="2" spans="3:5" s="42" customFormat="1" ht="12.75" customHeight="1">
      <c r="C2" s="144"/>
      <c r="D2" s="144"/>
      <c r="E2" s="144"/>
    </row>
    <row r="3" s="43" customFormat="1" ht="18" customHeight="1">
      <c r="A3" s="43" t="s">
        <v>485</v>
      </c>
    </row>
    <row r="4" s="42" customFormat="1" ht="12.75" customHeight="1"/>
    <row r="5" s="42" customFormat="1" ht="12.75" customHeight="1">
      <c r="A5" s="44" t="s">
        <v>486</v>
      </c>
    </row>
    <row r="6" s="42" customFormat="1" ht="12.75" customHeight="1">
      <c r="A6" s="44" t="s">
        <v>487</v>
      </c>
    </row>
    <row r="7" ht="6" customHeight="1"/>
    <row r="8" spans="1:3" s="45" customFormat="1" ht="22.5">
      <c r="A8" s="47" t="s">
        <v>370</v>
      </c>
      <c r="B8" s="48">
        <v>0</v>
      </c>
      <c r="C8" s="49" t="s">
        <v>488</v>
      </c>
    </row>
    <row r="9" spans="1:3" s="45" customFormat="1" ht="11.25">
      <c r="A9" s="50" t="s">
        <v>372</v>
      </c>
      <c r="B9" s="51" t="s">
        <v>373</v>
      </c>
      <c r="C9" s="52">
        <v>1</v>
      </c>
    </row>
    <row r="10" spans="1:4" s="45" customFormat="1" ht="11.25">
      <c r="A10" s="53" t="s">
        <v>489</v>
      </c>
      <c r="B10" s="48">
        <v>1</v>
      </c>
      <c r="C10" s="69">
        <f>'Rozvaha 1-12'!F199/1000</f>
        <v>0</v>
      </c>
      <c r="D10" s="161" t="s">
        <v>977</v>
      </c>
    </row>
    <row r="11" spans="1:3" s="45" customFormat="1" ht="11.25">
      <c r="A11" s="54" t="s">
        <v>490</v>
      </c>
      <c r="B11" s="55">
        <v>2</v>
      </c>
      <c r="C11" s="68" t="s">
        <v>370</v>
      </c>
    </row>
    <row r="12" spans="1:3" s="45" customFormat="1" ht="11.25">
      <c r="A12" s="54" t="s">
        <v>491</v>
      </c>
      <c r="B12" s="55">
        <v>3</v>
      </c>
      <c r="C12" s="68" t="s">
        <v>370</v>
      </c>
    </row>
    <row r="13" spans="1:3" s="45" customFormat="1" ht="11.25">
      <c r="A13" s="54" t="s">
        <v>492</v>
      </c>
      <c r="B13" s="55">
        <v>4</v>
      </c>
      <c r="C13" s="68"/>
    </row>
    <row r="14" spans="1:3" s="45" customFormat="1" ht="11.25">
      <c r="A14" s="54" t="s">
        <v>493</v>
      </c>
      <c r="B14" s="55">
        <v>5</v>
      </c>
      <c r="C14" s="68" t="s">
        <v>370</v>
      </c>
    </row>
    <row r="15" spans="1:3" s="45" customFormat="1" ht="11.25">
      <c r="A15" s="54" t="s">
        <v>494</v>
      </c>
      <c r="B15" s="55">
        <v>6</v>
      </c>
      <c r="C15" s="68" t="s">
        <v>370</v>
      </c>
    </row>
    <row r="16" spans="1:3" s="45" customFormat="1" ht="11.25">
      <c r="A16" s="54" t="s">
        <v>495</v>
      </c>
      <c r="B16" s="55">
        <v>7</v>
      </c>
      <c r="C16" s="68" t="s">
        <v>370</v>
      </c>
    </row>
    <row r="17" spans="1:3" s="45" customFormat="1" ht="11.25">
      <c r="A17" s="54" t="s">
        <v>496</v>
      </c>
      <c r="B17" s="55">
        <v>8</v>
      </c>
      <c r="C17" s="68">
        <f>C10</f>
        <v>0</v>
      </c>
    </row>
    <row r="18" spans="1:3" s="45" customFormat="1" ht="11.25">
      <c r="A18" s="54" t="s">
        <v>497</v>
      </c>
      <c r="B18" s="55">
        <v>9</v>
      </c>
      <c r="C18" s="68" t="s">
        <v>370</v>
      </c>
    </row>
    <row r="19" spans="1:4" s="45" customFormat="1" ht="11.25">
      <c r="A19" s="54" t="s">
        <v>498</v>
      </c>
      <c r="B19" s="55">
        <v>10</v>
      </c>
      <c r="C19" s="69">
        <f>C25</f>
        <v>24.752</v>
      </c>
      <c r="D19" s="161" t="s">
        <v>977</v>
      </c>
    </row>
    <row r="20" spans="1:3" s="45" customFormat="1" ht="11.25">
      <c r="A20" s="54" t="s">
        <v>499</v>
      </c>
      <c r="B20" s="55">
        <v>11</v>
      </c>
      <c r="C20" s="68" t="s">
        <v>370</v>
      </c>
    </row>
    <row r="21" spans="1:3" s="45" customFormat="1" ht="11.25">
      <c r="A21" s="54" t="s">
        <v>500</v>
      </c>
      <c r="B21" s="55">
        <v>12</v>
      </c>
      <c r="C21" s="68" t="s">
        <v>370</v>
      </c>
    </row>
    <row r="22" spans="1:3" s="45" customFormat="1" ht="11.25">
      <c r="A22" s="54" t="s">
        <v>501</v>
      </c>
      <c r="B22" s="55">
        <v>13</v>
      </c>
      <c r="C22" s="68" t="s">
        <v>370</v>
      </c>
    </row>
    <row r="23" spans="1:3" s="45" customFormat="1" ht="11.25">
      <c r="A23" s="54" t="s">
        <v>502</v>
      </c>
      <c r="B23" s="55">
        <v>14</v>
      </c>
      <c r="C23" s="68" t="s">
        <v>370</v>
      </c>
    </row>
    <row r="24" spans="1:3" s="45" customFormat="1" ht="11.25">
      <c r="A24" s="54" t="s">
        <v>503</v>
      </c>
      <c r="B24" s="55">
        <v>15</v>
      </c>
      <c r="C24" s="68" t="s">
        <v>370</v>
      </c>
    </row>
    <row r="25" spans="1:4" s="45" customFormat="1" ht="11.25">
      <c r="A25" s="54" t="s">
        <v>504</v>
      </c>
      <c r="B25" s="55">
        <v>16</v>
      </c>
      <c r="C25" s="68">
        <f>'Rozvaha 1-12'!F135/1000</f>
        <v>24.752</v>
      </c>
      <c r="D25" s="73" t="s">
        <v>755</v>
      </c>
    </row>
    <row r="26" spans="1:3" s="45" customFormat="1" ht="11.25">
      <c r="A26" s="54" t="s">
        <v>505</v>
      </c>
      <c r="B26" s="55">
        <v>17</v>
      </c>
      <c r="C26" s="68" t="s">
        <v>370</v>
      </c>
    </row>
    <row r="27" spans="1:3" s="45" customFormat="1" ht="11.25">
      <c r="A27" s="54" t="s">
        <v>506</v>
      </c>
      <c r="B27" s="55">
        <v>18</v>
      </c>
      <c r="C27" s="68" t="s">
        <v>370</v>
      </c>
    </row>
    <row r="28" spans="1:3" s="45" customFormat="1" ht="11.25">
      <c r="A28" s="54" t="s">
        <v>507</v>
      </c>
      <c r="B28" s="55">
        <v>19</v>
      </c>
      <c r="C28" s="68" t="s">
        <v>370</v>
      </c>
    </row>
    <row r="29" spans="1:3" s="45" customFormat="1" ht="11.25">
      <c r="A29" s="54" t="s">
        <v>508</v>
      </c>
      <c r="B29" s="55">
        <v>20</v>
      </c>
      <c r="C29" s="68" t="s">
        <v>370</v>
      </c>
    </row>
    <row r="30" spans="1:3" s="45" customFormat="1" ht="11.25">
      <c r="A30" s="54" t="s">
        <v>509</v>
      </c>
      <c r="B30" s="55">
        <v>21</v>
      </c>
      <c r="C30" s="68" t="s">
        <v>370</v>
      </c>
    </row>
    <row r="31" spans="1:3" s="45" customFormat="1" ht="11.25">
      <c r="A31" s="54" t="s">
        <v>510</v>
      </c>
      <c r="B31" s="55">
        <v>22</v>
      </c>
      <c r="C31" s="68" t="s">
        <v>370</v>
      </c>
    </row>
    <row r="32" spans="1:3" s="45" customFormat="1" ht="11.25">
      <c r="A32" s="54" t="s">
        <v>511</v>
      </c>
      <c r="B32" s="55">
        <v>23</v>
      </c>
      <c r="C32" s="68">
        <f>SUM('Rozvaha 1-12'!F204)/1000</f>
        <v>9557.535</v>
      </c>
    </row>
    <row r="33" spans="1:3" s="45" customFormat="1" ht="11.25">
      <c r="A33" s="54" t="s">
        <v>512</v>
      </c>
      <c r="B33" s="55">
        <v>24</v>
      </c>
      <c r="C33" s="68" t="s">
        <v>370</v>
      </c>
    </row>
    <row r="34" spans="1:3" s="45" customFormat="1" ht="11.25">
      <c r="A34" s="54" t="s">
        <v>513</v>
      </c>
      <c r="B34" s="55">
        <v>25</v>
      </c>
      <c r="C34" s="68" t="s">
        <v>370</v>
      </c>
    </row>
    <row r="35" spans="1:3" s="45" customFormat="1" ht="11.25">
      <c r="A35" s="54" t="s">
        <v>514</v>
      </c>
      <c r="B35" s="55">
        <v>26</v>
      </c>
      <c r="C35" s="68" t="s">
        <v>370</v>
      </c>
    </row>
    <row r="36" spans="1:3" s="45" customFormat="1" ht="11.25">
      <c r="A36" s="54" t="s">
        <v>515</v>
      </c>
      <c r="B36" s="55">
        <v>27</v>
      </c>
      <c r="C36" s="68" t="s">
        <v>370</v>
      </c>
    </row>
    <row r="37" spans="1:3" s="45" customFormat="1" ht="11.25">
      <c r="A37" s="54" t="s">
        <v>516</v>
      </c>
      <c r="B37" s="55">
        <v>28</v>
      </c>
      <c r="C37" s="68" t="s">
        <v>370</v>
      </c>
    </row>
    <row r="38" spans="1:3" s="45" customFormat="1" ht="11.25">
      <c r="A38" s="54" t="s">
        <v>517</v>
      </c>
      <c r="B38" s="55">
        <v>29</v>
      </c>
      <c r="C38" s="68" t="s">
        <v>370</v>
      </c>
    </row>
    <row r="39" spans="1:3" s="45" customFormat="1" ht="11.25">
      <c r="A39" s="54" t="s">
        <v>518</v>
      </c>
      <c r="B39" s="55">
        <v>30</v>
      </c>
      <c r="C39" s="68" t="s">
        <v>370</v>
      </c>
    </row>
    <row r="40" spans="1:3" s="45" customFormat="1" ht="11.25">
      <c r="A40" s="54" t="s">
        <v>519</v>
      </c>
      <c r="B40" s="55">
        <v>31</v>
      </c>
      <c r="C40" s="68" t="s">
        <v>370</v>
      </c>
    </row>
    <row r="41" spans="1:3" s="45" customFormat="1" ht="11.25">
      <c r="A41" s="54" t="s">
        <v>520</v>
      </c>
      <c r="B41" s="55">
        <v>32</v>
      </c>
      <c r="C41" s="68" t="s">
        <v>370</v>
      </c>
    </row>
    <row r="42" spans="1:3" s="45" customFormat="1" ht="11.25">
      <c r="A42" s="54" t="s">
        <v>521</v>
      </c>
      <c r="B42" s="55">
        <v>33</v>
      </c>
      <c r="C42" s="68" t="s">
        <v>370</v>
      </c>
    </row>
    <row r="43" spans="1:3" s="45" customFormat="1" ht="11.25">
      <c r="A43" s="54" t="s">
        <v>522</v>
      </c>
      <c r="B43" s="55">
        <v>34</v>
      </c>
      <c r="C43" s="171">
        <f>('Rozvaha 1-12'!F201+'Rozvaha 1-12'!F200+'Rozvaha 1-12'!F198-'Rozvaha 1-12'!F197-'Rozvaha 1-12'!F196-'Rozvaha 1-12'!F195)/1000</f>
        <v>-58.857510000000005</v>
      </c>
    </row>
    <row r="44" spans="1:3" s="45" customFormat="1" ht="11.25">
      <c r="A44" s="54" t="s">
        <v>523</v>
      </c>
      <c r="B44" s="55">
        <v>35</v>
      </c>
      <c r="C44" s="68" t="s">
        <v>370</v>
      </c>
    </row>
    <row r="45" spans="1:3" s="45" customFormat="1" ht="11.25">
      <c r="A45" s="54" t="s">
        <v>524</v>
      </c>
      <c r="B45" s="55">
        <v>36</v>
      </c>
      <c r="C45" s="68">
        <f>('Rozvaha 1-12'!F202+'Rozvaha 1-12'!F203+SUM('Rozvaha 1-12'!F205:F209))/1000</f>
        <v>3716.7436100000004</v>
      </c>
    </row>
    <row r="46" spans="1:4" s="45" customFormat="1" ht="22.5">
      <c r="A46" s="54" t="s">
        <v>525</v>
      </c>
      <c r="B46" s="55">
        <v>37</v>
      </c>
      <c r="C46" s="69">
        <f>'Rozvaha 1-12'!F191/1000+'Rozvaha 1-12'!F192/1000</f>
        <v>350</v>
      </c>
      <c r="D46" s="184" t="s">
        <v>1078</v>
      </c>
    </row>
    <row r="47" spans="1:3" s="45" customFormat="1" ht="11.25">
      <c r="A47" s="54" t="s">
        <v>526</v>
      </c>
      <c r="B47" s="55">
        <v>38</v>
      </c>
      <c r="C47" s="69">
        <f>SUM(C32:C45)+C10-C46-C25</f>
        <v>12840.6691</v>
      </c>
    </row>
    <row r="48" spans="1:3" s="45" customFormat="1" ht="11.25">
      <c r="A48" s="54" t="s">
        <v>527</v>
      </c>
      <c r="B48" s="55">
        <v>39</v>
      </c>
      <c r="C48" s="69">
        <f>SUM(C49:C50)</f>
        <v>10229.44296</v>
      </c>
    </row>
    <row r="49" spans="1:3" s="45" customFormat="1" ht="11.25">
      <c r="A49" s="54" t="s">
        <v>528</v>
      </c>
      <c r="B49" s="55">
        <v>40</v>
      </c>
      <c r="C49" s="68">
        <f>SUM('Rozvaha 1-12'!F136:F138)/1000</f>
        <v>1562.399</v>
      </c>
    </row>
    <row r="50" spans="1:4" s="45" customFormat="1" ht="11.25">
      <c r="A50" s="54" t="s">
        <v>529</v>
      </c>
      <c r="B50" s="55">
        <v>41</v>
      </c>
      <c r="C50" s="68">
        <f>SUM('Rozvaha 1-12'!F141:F186)/1000+'Rozvaha 1-12'!F139/1000+'Rozvaha 1-12'!F140/1000+'Rozvaha 1-12'!F190/1000</f>
        <v>8667.04396</v>
      </c>
      <c r="D50" s="170">
        <f>C49+C50</f>
        <v>10229.44296</v>
      </c>
    </row>
    <row r="51" spans="1:3" s="45" customFormat="1" ht="11.25">
      <c r="A51" s="54" t="s">
        <v>530</v>
      </c>
      <c r="B51" s="55">
        <v>42</v>
      </c>
      <c r="C51" s="69">
        <f>SUM(C52:C54)</f>
        <v>650.7539999999999</v>
      </c>
    </row>
    <row r="52" spans="1:3" s="45" customFormat="1" ht="11.25">
      <c r="A52" s="54" t="s">
        <v>531</v>
      </c>
      <c r="B52" s="55">
        <v>43</v>
      </c>
      <c r="C52" s="68">
        <f>'Rozvaha 1-12'!F187/1000</f>
        <v>345.051</v>
      </c>
    </row>
    <row r="53" spans="1:3" s="45" customFormat="1" ht="11.25">
      <c r="A53" s="54" t="s">
        <v>532</v>
      </c>
      <c r="B53" s="55">
        <v>44</v>
      </c>
      <c r="C53" s="68" t="s">
        <v>370</v>
      </c>
    </row>
    <row r="54" spans="1:3" s="45" customFormat="1" ht="11.25">
      <c r="A54" s="54" t="s">
        <v>533</v>
      </c>
      <c r="B54" s="55">
        <v>45</v>
      </c>
      <c r="C54" s="68">
        <f>'Rozvaha 1-12'!F188/1000</f>
        <v>305.703</v>
      </c>
    </row>
    <row r="55" spans="1:3" s="45" customFormat="1" ht="11.25">
      <c r="A55" s="54" t="s">
        <v>534</v>
      </c>
      <c r="B55" s="55">
        <v>46</v>
      </c>
      <c r="C55" s="68" t="s">
        <v>370</v>
      </c>
    </row>
    <row r="56" spans="1:3" s="45" customFormat="1" ht="11.25">
      <c r="A56" s="54" t="s">
        <v>535</v>
      </c>
      <c r="B56" s="55">
        <v>47</v>
      </c>
      <c r="C56" s="68" t="s">
        <v>370</v>
      </c>
    </row>
    <row r="57" spans="1:3" s="45" customFormat="1" ht="11.25">
      <c r="A57" s="54" t="s">
        <v>536</v>
      </c>
      <c r="B57" s="55">
        <v>48</v>
      </c>
      <c r="C57" s="68" t="s">
        <v>370</v>
      </c>
    </row>
    <row r="58" spans="1:3" s="45" customFormat="1" ht="11.25">
      <c r="A58" s="54" t="s">
        <v>537</v>
      </c>
      <c r="B58" s="55">
        <v>49</v>
      </c>
      <c r="C58" s="69">
        <f>C60</f>
        <v>-23</v>
      </c>
    </row>
    <row r="59" spans="1:3" s="45" customFormat="1" ht="11.25">
      <c r="A59" s="54" t="s">
        <v>538</v>
      </c>
      <c r="B59" s="55">
        <v>50</v>
      </c>
      <c r="C59" s="68" t="s">
        <v>370</v>
      </c>
    </row>
    <row r="60" spans="1:3" s="45" customFormat="1" ht="11.25">
      <c r="A60" s="54" t="s">
        <v>539</v>
      </c>
      <c r="B60" s="55">
        <v>51</v>
      </c>
      <c r="C60" s="68">
        <f>'Rozvaha 1-12'!F189/1000</f>
        <v>-23</v>
      </c>
    </row>
    <row r="61" spans="1:3" s="45" customFormat="1" ht="11.25">
      <c r="A61" s="54" t="s">
        <v>540</v>
      </c>
      <c r="B61" s="55">
        <v>52</v>
      </c>
      <c r="C61" s="68" t="s">
        <v>370</v>
      </c>
    </row>
    <row r="62" spans="1:3" s="45" customFormat="1" ht="11.25">
      <c r="A62" s="54" t="s">
        <v>541</v>
      </c>
      <c r="B62" s="55">
        <v>53</v>
      </c>
      <c r="C62" s="68" t="s">
        <v>370</v>
      </c>
    </row>
    <row r="63" spans="1:3" s="45" customFormat="1" ht="11.25">
      <c r="A63" s="54" t="s">
        <v>542</v>
      </c>
      <c r="B63" s="55">
        <v>54</v>
      </c>
      <c r="C63" s="68" t="s">
        <v>370</v>
      </c>
    </row>
    <row r="64" spans="1:3" s="45" customFormat="1" ht="11.25">
      <c r="A64" s="54" t="s">
        <v>543</v>
      </c>
      <c r="B64" s="55">
        <v>55</v>
      </c>
      <c r="C64" s="68" t="s">
        <v>370</v>
      </c>
    </row>
    <row r="65" spans="1:3" s="45" customFormat="1" ht="11.25">
      <c r="A65" s="54" t="s">
        <v>544</v>
      </c>
      <c r="B65" s="55">
        <v>56</v>
      </c>
      <c r="C65" s="68" t="s">
        <v>370</v>
      </c>
    </row>
    <row r="66" spans="1:3" s="45" customFormat="1" ht="11.25">
      <c r="A66" s="54" t="s">
        <v>545</v>
      </c>
      <c r="B66" s="55">
        <v>57</v>
      </c>
      <c r="C66" s="68" t="s">
        <v>370</v>
      </c>
    </row>
    <row r="67" spans="1:3" s="45" customFormat="1" ht="11.25">
      <c r="A67" s="54" t="s">
        <v>546</v>
      </c>
      <c r="B67" s="55">
        <v>58</v>
      </c>
      <c r="C67" s="68" t="s">
        <v>370</v>
      </c>
    </row>
    <row r="68" spans="1:3" s="45" customFormat="1" ht="11.25">
      <c r="A68" s="54" t="s">
        <v>547</v>
      </c>
      <c r="B68" s="55">
        <v>59</v>
      </c>
      <c r="C68" s="68" t="s">
        <v>370</v>
      </c>
    </row>
    <row r="69" spans="1:3" s="45" customFormat="1" ht="11.25">
      <c r="A69" s="54" t="s">
        <v>548</v>
      </c>
      <c r="B69" s="55">
        <v>60</v>
      </c>
      <c r="C69" s="68" t="s">
        <v>370</v>
      </c>
    </row>
    <row r="70" spans="1:3" s="45" customFormat="1" ht="11.25">
      <c r="A70" s="54" t="s">
        <v>549</v>
      </c>
      <c r="B70" s="55">
        <v>61</v>
      </c>
      <c r="C70" s="68" t="s">
        <v>370</v>
      </c>
    </row>
    <row r="71" spans="1:3" s="45" customFormat="1" ht="11.25">
      <c r="A71" s="54" t="s">
        <v>550</v>
      </c>
      <c r="B71" s="55">
        <v>62</v>
      </c>
      <c r="C71" s="68" t="s">
        <v>370</v>
      </c>
    </row>
    <row r="72" spans="1:3" s="45" customFormat="1" ht="11.25">
      <c r="A72" s="54" t="s">
        <v>551</v>
      </c>
      <c r="B72" s="55">
        <v>63</v>
      </c>
      <c r="C72" s="68"/>
    </row>
    <row r="73" spans="1:3" s="45" customFormat="1" ht="11.25">
      <c r="A73" s="54" t="s">
        <v>552</v>
      </c>
      <c r="B73" s="55">
        <v>64</v>
      </c>
      <c r="C73" s="68"/>
    </row>
    <row r="74" spans="1:4" s="45" customFormat="1" ht="11.25">
      <c r="A74" s="54" t="s">
        <v>553</v>
      </c>
      <c r="B74" s="55">
        <v>65</v>
      </c>
      <c r="C74" s="69">
        <f>C47-C48-C51-C58</f>
        <v>1983.472139999999</v>
      </c>
      <c r="D74" s="170"/>
    </row>
    <row r="75" spans="1:4" s="45" customFormat="1" ht="11.25">
      <c r="A75" s="54" t="s">
        <v>554</v>
      </c>
      <c r="B75" s="55">
        <v>66</v>
      </c>
      <c r="C75" s="70">
        <f>'Rozvaha 1-12'!F193/1000+'Rozvaha 1-12'!F194/1000</f>
        <v>451</v>
      </c>
      <c r="D75" s="170"/>
    </row>
    <row r="76" spans="1:3" s="45" customFormat="1" ht="11.25">
      <c r="A76" s="54" t="s">
        <v>555</v>
      </c>
      <c r="B76" s="55">
        <v>67</v>
      </c>
      <c r="C76" s="69">
        <f>C74-C75</f>
        <v>1532.472139999999</v>
      </c>
    </row>
    <row r="77" spans="1:4" s="45" customFormat="1" ht="11.25">
      <c r="A77" s="54" t="s">
        <v>556</v>
      </c>
      <c r="B77" s="55">
        <v>68</v>
      </c>
      <c r="C77" s="68" t="s">
        <v>370</v>
      </c>
      <c r="D77" s="170"/>
    </row>
    <row r="78" spans="1:3" s="45" customFormat="1" ht="11.25">
      <c r="A78" s="54" t="s">
        <v>557</v>
      </c>
      <c r="B78" s="55">
        <v>69</v>
      </c>
      <c r="C78" s="68" t="s">
        <v>370</v>
      </c>
    </row>
    <row r="79" spans="1:3" s="45" customFormat="1" ht="11.25">
      <c r="A79" s="54" t="s">
        <v>558</v>
      </c>
      <c r="B79" s="55">
        <v>70</v>
      </c>
      <c r="C79" s="68" t="s">
        <v>370</v>
      </c>
    </row>
    <row r="80" spans="1:4" s="45" customFormat="1" ht="11.25">
      <c r="A80" s="54" t="s">
        <v>559</v>
      </c>
      <c r="B80" s="55">
        <v>71</v>
      </c>
      <c r="C80" s="69">
        <f>C76</f>
        <v>1532.472139999999</v>
      </c>
      <c r="D80" s="161" t="s">
        <v>977</v>
      </c>
    </row>
    <row r="81" spans="1:3" s="45" customFormat="1" ht="11.25">
      <c r="A81" s="54" t="s">
        <v>560</v>
      </c>
      <c r="B81" s="55">
        <v>72</v>
      </c>
      <c r="C81" s="58" t="s">
        <v>481</v>
      </c>
    </row>
    <row r="82" spans="1:3" s="45" customFormat="1" ht="11.25">
      <c r="A82" s="56" t="s">
        <v>561</v>
      </c>
      <c r="B82" s="57">
        <v>73</v>
      </c>
      <c r="C82" s="59" t="s">
        <v>481</v>
      </c>
    </row>
    <row r="84" spans="3:4" ht="22.5">
      <c r="C84" s="181">
        <f>C80-FIS10!C120</f>
        <v>0</v>
      </c>
      <c r="D84" s="161" t="s">
        <v>1075</v>
      </c>
    </row>
  </sheetData>
  <sheetProtection/>
  <printOptions/>
  <pageMargins left="0.7" right="0.7" top="0.787401575" bottom="0.787401575" header="0.3" footer="0.3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Tereza Capkova</cp:lastModifiedBy>
  <cp:lastPrinted>2019-04-24T15:17:32Z</cp:lastPrinted>
  <dcterms:created xsi:type="dcterms:W3CDTF">2017-05-17T13:44:48Z</dcterms:created>
  <dcterms:modified xsi:type="dcterms:W3CDTF">2021-10-29T06:18:00Z</dcterms:modified>
  <cp:category/>
  <cp:version/>
  <cp:contentType/>
  <cp:contentStatus/>
</cp:coreProperties>
</file>